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76" windowWidth="10380" windowHeight="6012" tabRatio="819" activeTab="0"/>
  </bookViews>
  <sheets>
    <sheet name="додаток 6" sheetId="1" r:id="rId1"/>
  </sheets>
  <definedNames>
    <definedName name="_xlnm.Print_Titles" localSheetId="0">'додаток 6'!$10:$10</definedName>
    <definedName name="_xlnm.Print_Area" localSheetId="0">'додаток 6'!$A$1:$J$175</definedName>
  </definedNames>
  <calcPr fullCalcOnLoad="1"/>
</workbook>
</file>

<file path=xl/sharedStrings.xml><?xml version="1.0" encoding="utf-8"?>
<sst xmlns="http://schemas.openxmlformats.org/spreadsheetml/2006/main" count="478" uniqueCount="264">
  <si>
    <t>до рішення Рівненської  обласної ради</t>
  </si>
  <si>
    <t>Перший заступник голови обласної ради</t>
  </si>
  <si>
    <t>0490</t>
  </si>
  <si>
    <t>Додаток  6</t>
  </si>
  <si>
    <t>Нерозподілений резерв</t>
  </si>
  <si>
    <t>0732</t>
  </si>
  <si>
    <t>1500000</t>
  </si>
  <si>
    <t>1510000</t>
  </si>
  <si>
    <t>0700000</t>
  </si>
  <si>
    <t>Управління охорони здоров’я  Рівненської обласної державної адміністрації</t>
  </si>
  <si>
    <t>0710000</t>
  </si>
  <si>
    <t>0712020</t>
  </si>
  <si>
    <t xml:space="preserve">Спеціалізована стаціонарна медична допомога населенню </t>
  </si>
  <si>
    <t>1000000</t>
  </si>
  <si>
    <t>Управління культури і туризму Рівненської  обласної державної адміністрації</t>
  </si>
  <si>
    <t>1010000</t>
  </si>
  <si>
    <t>Код Функціональної класифікації видатків та кредитування бюджету</t>
  </si>
  <si>
    <t>С.А.Свисталюк</t>
  </si>
  <si>
    <t>УСЬОГО</t>
  </si>
  <si>
    <t>0180</t>
  </si>
  <si>
    <t>Усього</t>
  </si>
  <si>
    <t>0712010</t>
  </si>
  <si>
    <t>0731</t>
  </si>
  <si>
    <t>Багатопрофільна стаціонарна медична допомога населенню</t>
  </si>
  <si>
    <t>1517300</t>
  </si>
  <si>
    <t>7300</t>
  </si>
  <si>
    <t>Будівництво та регіональний розвиток</t>
  </si>
  <si>
    <t>(код бюджету)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</si>
  <si>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</si>
  <si>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</si>
  <si>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</si>
  <si>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1040</t>
  </si>
  <si>
    <t>0813121</t>
  </si>
  <si>
    <t>Утримання та забезпечення діяльності центрів соціальних служб для сім’ї, дітей та молоді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</si>
  <si>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</si>
  <si>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</si>
  <si>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</si>
  <si>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0763</t>
  </si>
  <si>
    <t>0600000</t>
  </si>
  <si>
    <t>Управління  освіти і науки Рівненської обласної державної адміністрації</t>
  </si>
  <si>
    <t>0610000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</si>
  <si>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</si>
  <si>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</si>
  <si>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</si>
  <si>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</si>
  <si>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</si>
  <si>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</si>
  <si>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</si>
  <si>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</si>
  <si>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</si>
  <si>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Зміни до розподілу коштів бюджету розвитку на здійснення заходів із будівництва, реконструкції і реставрації об'єктів  виробничої, комунікаційної та соціальної інфраструктури за об'єктами та іншими капітальними видатками  у 2020 році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</si>
  <si>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</si>
  <si>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</si>
  <si>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</si>
  <si>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Нове будівництво лікарської амбулаторії загальної практики сімейної медицини по вул. Нова в с. Полиці Володимирецького району </t>
  </si>
  <si>
    <t xml:space="preserve">Нове будівництво лікарської амбулаторії загальної практики сімейної медицини в с. Селець Дубровицького району </t>
  </si>
  <si>
    <t xml:space="preserve">Нове будівництво лікарської амбулаторії загальної практики сімейної медицини в с. Колки Дубровицького району </t>
  </si>
  <si>
    <t xml:space="preserve">Нове будівництво лікарської амбулаторії загальної практики сімейної медицини в с. Берестя Дубровицького району </t>
  </si>
  <si>
    <t>Нове будівництво лікарської амбулаторії загальної практики сімейної медицини в с. Чудель Сарненського району Рівненської області</t>
  </si>
  <si>
    <t>2019-2020</t>
  </si>
  <si>
    <t>за рахунок залишку субвенції з державного бюджету місцевим бюджетам на реалізацію заходів, спрямованих на розвиток системи охорони здоров"я у сільській місцевості, що утворився  на 01.01.2020 року</t>
  </si>
  <si>
    <t>Співфінансування інвестиційних проєктів, що реалізуються за рахунок коштів державного фонду регіонального розвитку</t>
  </si>
  <si>
    <t>за рахунок залишку коштів бюджету розвитку обласного бюджету, що утворився на                       01.01.2020 року</t>
  </si>
  <si>
    <t xml:space="preserve">Будівництво універсального спортивного залу спортивного комплексу комунального закладу “Обласна спеціалізована дитячо-юнацька школа олімпійського резерву” Рівненської обласної ради на території Шпанівської сільської ради (в районі вул. Макарова  м. Рівне) (у т.ч. проектна документація)  </t>
  </si>
  <si>
    <t>2018-2021</t>
  </si>
  <si>
    <t>з районного бюджету Сарненського району</t>
  </si>
  <si>
    <t>2016-2020</t>
  </si>
  <si>
    <t>Співфінансування об"єкту "Будівництво загальноосвітньої школи І-ІІІ ступенів на вул. Нова, 38 в с. Цепцевичі Сарненського району Рівненської області</t>
  </si>
  <si>
    <t>2016-2021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</si>
  <si>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територій, що утворився на 01.01.2020 року</t>
  </si>
  <si>
    <t>Реконструкція існуючого приміщення твердопаливної котельні Малошпаківської НВК «Школа-сад» в с. Малий Шпаків по                            вул. Шкільна, 20а Рівненського району Рівненської області</t>
  </si>
  <si>
    <t>2015-2021</t>
  </si>
  <si>
    <t>Капітальний ремонт дорожнього покриття автомобільної дороги обласного значення 0180408 Черешнівка-Рачин від ПК107+50 до ПК128+00 Дубенського району Рівненської області</t>
  </si>
  <si>
    <t>2020-2021</t>
  </si>
  <si>
    <t xml:space="preserve">Капітальний ремонт Грушвицького дошкільного навчального закладу (зовнішнє опорядження та утеплення фасадів, заміна покрівлі, вікон та зовнішніх дверей, відновлення функціонування приміщень другого поверху) за адресою:                                вул. Шкільна, 12, с. Грушвиця Перша Рівненського району </t>
  </si>
  <si>
    <t>Виконання інвестиційних проєктів в рамках здійснення заходів щодо соціально-економічного розвитку окремих територій</t>
  </si>
  <si>
    <t>Виконання інвестиційних проектів в рамках реформування регіональних систем охорони здоров’я для здійснення заходів з виконання спільного з Міжнародним банком реконструкції та розвитку проекту "Поліпшення охорони здоров’я на службі у людей"</t>
  </si>
  <si>
    <t>за рахунок залишку субвенції з державного бюджету місцевим бюджетам на реформування регіональних систем охорони здоров"я для здійснення заходів з виконання спільного з Міжнародним банком реконструкції та розвитку проєкту "Поліпшення охорони здоров"я на службі у людей", що утворився на 01.01.2020 року</t>
  </si>
  <si>
    <t>Капітальний ремонт будівлі амбулаторії загальної практики сімейної медицини на вул. Лісна, 22А в с. Балашівка Березнівського району Рівненської області</t>
  </si>
  <si>
    <t>Капітальний ремонт амбулаторії загальної практики сімейної медицини на вул. Першотравнева, 1-б в с. Вітковичі Березнівського району Рівненської області</t>
  </si>
  <si>
    <t>Капітальний ремонт будівлі амбулаторії загальної практики сімейної медицини на вул. Шевченка, 108-Г в с. Друхів Березнівського району Рівненської області</t>
  </si>
  <si>
    <t>Капітальний ремонт будівлі амбулаторії загальної практики сімейної медицини на вул. Центральна, 122 в с. Малинськ Березнівського району Рівненської області</t>
  </si>
  <si>
    <t>Капітальний ремонт будівлі амбулаторії загальної практики сімейної медицини на вул. Андріївській, 10 в с. Прислуч Березнівського району Рівненської області</t>
  </si>
  <si>
    <t>Капітальний ремонт будівлі амбулаторії загальної практики сімейної медицини на вул. Незалежності, 185А в с. Тишиця Березнівського району Рівненської області</t>
  </si>
  <si>
    <t>Реконструкція фельдшерсько-акушерського пункту під лікарську амбулаторію загальної практики сімейної медицини по вул. Центральній, 6 в с. Головниця Корецького району</t>
  </si>
  <si>
    <t>2018-2020</t>
  </si>
  <si>
    <t>Реконструкція лікарської амбулаторії загальної практики сімейної медицини по вул. Київській, 49 в с. Користь Корецького району Рівненської області</t>
  </si>
  <si>
    <t>Реконструкція лікарської амбулаторії загальної практики сімейної медицини по провулку Рад, 2 в с. Невірків Корецького району Рівненської області</t>
  </si>
  <si>
    <t>Реконструкція лікарської амбулаторії загальної практики сімейної медицини по вул. Центральній, 4 в с. Велика Клецька Корецького району Рівненської області</t>
  </si>
  <si>
    <r>
      <t>Реконструкція частини будівлі дитячого садка під амбулаторію загальної практики сімейної медицини с.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Більська Воля вул. Шкільна, 19 Володимирецького району Рівненської області</t>
    </r>
  </si>
  <si>
    <t>Реконструкція нежитлового приміщення під АЗПСМ по вул. Пушкіна, 19 в с. Бабин Гощанського району Рівненської області</t>
  </si>
  <si>
    <t xml:space="preserve"> Реконструкція приміщення Комунального закладу “Бугринська амбулаторія загальної практики - сімейної медициниˮ Бугринської сільської ради з переплануванням першого поверху за адресою: вул. Князя Острозького,9а в с. Бугрин Гощанського району Рівненської області</t>
  </si>
  <si>
    <t>Реконструкція Тучинської амбулаторії загальної практики сімейної медицини з влаштуванням блочно-модульної котельні по вул. Шевченка, 8а в с. Тучин Гощанського району</t>
  </si>
  <si>
    <t>Реконструкція приміщення під лікарську амбулаторію ЗПСМ в смт. Володимирець Володимирецького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</si>
  <si>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Нова, 2 в с. Кам'янка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</si>
  <si>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Лесі Українки, 105А с. Поляни Березнівського району Рівненської області</t>
  </si>
  <si>
    <t>Реконструкція будівлі амбулаторії загальної практики сімейної медицини на вул. Надслучанська, 91А в с. Моквин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</si>
  <si>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Кузнецова, 30 с. Поліське  Березнівського району Рівненської області</t>
  </si>
  <si>
    <t>Реконструкція будівлі амбулаторії загальної практики-сімейної медицини в с. Великий Стидин на вул. Центральній, 1 Костопільського району Рівненської області</t>
  </si>
  <si>
    <t>Реконструкція будівлі амбулаторії загальної практики-сімейної медицини в с. Яполоть на вул. Молодіжній, 3 Костопільського району Рівненської області</t>
  </si>
  <si>
    <t>Реконструкція будівлі амбулаторії загальної практики-сімейної медицини в с. Головин на вул. Л. Українки, 59 Костопільського району Рівненської області</t>
  </si>
  <si>
    <t>Реконструкція будівлі амбулаторії загальної практики-сімейної медицини № 1 в м. Костопіль на вул. Д. Галицького, 10 Костопільського району 
Рівненської області</t>
  </si>
  <si>
    <t>Реконструкція будівлі амбулаторії загальної практики-сімейної медицини № 3 в м. Костопіль на вул. Д. Галицького, 10 Костопільського району Рівненської області</t>
  </si>
  <si>
    <t>з районного бюджету Костопільського району</t>
  </si>
  <si>
    <t>Виконання інвестиційних проектів за рахунок субвенцій з інших бюджетів</t>
  </si>
  <si>
    <t>Будівництво загальноосвітньої школи                     І-ІІІ ступенів по вул. Грушевського, 1 в с. Чабель Сарненського району, Рівненської області</t>
  </si>
  <si>
    <t>Реконструкція загальноосвітньої школи                   І-ІІІ ступенів по вул. Центральній, 102 в с. Корнин Рівненського району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</si>
  <si>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</si>
  <si>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</si>
  <si>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Капітальний ремонт асфальтобетонного покриття вулиці Соборна в м. Вараш Рівненської області</t>
  </si>
  <si>
    <t>2020-2022</t>
  </si>
  <si>
    <t>0717363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</si>
  <si>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</si>
  <si>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
</t>
  </si>
  <si>
    <t>Капітальний ремонт будівель, стаціонарний корпус, блок 1, блок № 2 (заміна вікон) комунального підприємства “Рівненська обласна дитяча лікарня”, вул. Київська, 60 м. Рівне</t>
  </si>
  <si>
    <t>за рахунок залишку  субвенції з державного бюджету місцевим бюджетам на здійснення заходів щодо соціально-економічного розвитку окремих територій, що утворився  на 01.01.2020 року</t>
  </si>
  <si>
    <t>Департамент з питань будівництва та архітектури Рівненської обласної державної адміністрації</t>
  </si>
  <si>
    <t xml:space="preserve">"Про внесення змін до обласного бюджету </t>
  </si>
  <si>
    <t>Рівненської області на 2020 рік"</t>
  </si>
  <si>
    <t>0443</t>
  </si>
  <si>
    <t>0617321</t>
  </si>
  <si>
    <t>7321</t>
  </si>
  <si>
    <t>Будівництво освітніх установ та закладів</t>
  </si>
  <si>
    <t>Капітальний ремонт частини будівлі Рівненського обласного інституту післядипломної педагогічної освіти (заміна вікон та дверей в стінах по вісях 4, В, 7) в м. Рівне по вул. Чорновола, 74</t>
  </si>
  <si>
    <t>0200000</t>
  </si>
  <si>
    <t>Рівненська обласна державна адміністрація</t>
  </si>
  <si>
    <t>0210000</t>
  </si>
  <si>
    <t>0611110</t>
  </si>
  <si>
    <t>1110</t>
  </si>
  <si>
    <t>0930</t>
  </si>
  <si>
    <t xml:space="preserve">Підготовка кадрів закладами професійної (професійно-технічної) освіти та іншими закладами освіти       </t>
  </si>
  <si>
    <t>0611162</t>
  </si>
  <si>
    <t>1162</t>
  </si>
  <si>
    <t>0990</t>
  </si>
  <si>
    <t>Інші програми та заходи у сфері освіти</t>
  </si>
  <si>
    <t>0712152</t>
  </si>
  <si>
    <t>Інші програми та заходи у сфері охорони здоров’я</t>
  </si>
  <si>
    <t>0714030</t>
  </si>
  <si>
    <t>4030</t>
  </si>
  <si>
    <t>0824</t>
  </si>
  <si>
    <t>Забезпечення діяльності бібліотек</t>
  </si>
  <si>
    <t>0717367</t>
  </si>
  <si>
    <t>3517670</t>
  </si>
  <si>
    <t>7670</t>
  </si>
  <si>
    <t>Внески до статутного капіталу суб’єктів господарювання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</si>
  <si>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</si>
  <si>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</si>
  <si>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</si>
  <si>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3700000</t>
  </si>
  <si>
    <t>Департамент фінансів Рівненської обласної державної адміністрації</t>
  </si>
  <si>
    <t>3710000</t>
  </si>
  <si>
    <t>3719800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</si>
  <si>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</si>
  <si>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</si>
  <si>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2017-2020</t>
  </si>
  <si>
    <t>з міського бюджету міста Сарни</t>
  </si>
  <si>
    <t>з сільського бюджету Корнинської сільської об’єднаної територіальної громади Рівненського району</t>
  </si>
  <si>
    <t xml:space="preserve">з міського бюджету Вараської міської об’єднаної територіальної громади </t>
  </si>
  <si>
    <t>Співфінансування будівництва спортивного комплексу по вул. Я. Мудрого, 1 в м. Сарни</t>
  </si>
  <si>
    <t>Співфінансування об’єкту “Будівництво дошкільного навчального закладу комбінованого типу (ясла-садок) по вул.Грушевського в м.Сарни Рівненської області” (в т.ч.проектно-кошторисна документація)</t>
  </si>
  <si>
    <t>1017340</t>
  </si>
  <si>
    <t>7340</t>
  </si>
  <si>
    <t>Проектування, реставрація та охорона пам'яток архітектури</t>
  </si>
  <si>
    <t>Реставрація Державного історико-культурного заповідника м.Дубно (влаштування системи опалення та котельні на твердому паливі Надбрамного корпусу) по вул.Замковій, 7а в м.Дубно, Рівненської області</t>
  </si>
  <si>
    <t>0611050</t>
  </si>
  <si>
    <t>1050</t>
  </si>
  <si>
    <t>0922</t>
  </si>
  <si>
    <t>Капітальний ремонт спортивного майданчика для ігрових видів спорту на території  комунального закладу "Костопільський ліцей-інтернат спортивного профілю ІІ-ІІІ ступенів "Рівненської обласної ради  за адресою ,м.Костопіль ,вул.Д Галицького,7, у тому числі проектні роботи</t>
  </si>
  <si>
    <t>Капітальний ремонт (з утепленням) фасадів будівель КЗ Рівненський обласний науковий ліцей-інтернат ІІ-ІІІ ст РОР на вул Котляревського,1 м Рівне, у тому числі коригування проекту</t>
  </si>
  <si>
    <t>Реконструкція системи опалення з встановленням вузла обліку та регулювання теплової енергії у комунальному закладі "Олександрійська загальноосвітня школа-інтернат І-ІІІ ступенів" Рівненської обласної ради за адресою: Рівненський район, с.Олександрія, вул.Санаторна,4.ТК-1 , у тому числі коригування проекту</t>
  </si>
  <si>
    <t>Капітальний ремонт електричних мереж із збільшенням електричної потужності на 50 кВт у комунальному закладі "Олександрійська спеціалізована мистецька школа-інтернат І-ІІІ ступенів" Рівненської обласної ради за адресою: Рівненський район, с.Олександрія, вул.Санаторна, 16, у тому числі проектні роботи</t>
  </si>
  <si>
    <t>Капітальний ремонт покрівлі приміщення навчального корпусу Рокитнівського професійного ліцею смт Рокитне, вул. Міцкевича, 15, Рівненської області, у тому числі проектні роботи</t>
  </si>
  <si>
    <t>Капітальний ремонт  навчального корпусу Рокитнівського професійного ліцею (улаштування санвузла) смт Рокитне, вул. Міцкевича, 15, Рівненської області, у тому числі проектні роботи</t>
  </si>
  <si>
    <t>Капітальний ремонт зовнішньої теплової мережі від ТК -10 до учнівського гуртожитку на території ВПУ №22 м. Сарни, у тому числі проектні роботи</t>
  </si>
  <si>
    <t>Капітальний ремонт приміщень лабораторії пекарського та кухарського виробництва Клеванського професійного ліцею по вул. Б.Хмельницького, 89 в смт Клевань Рівненського району Рівненської області (заміна системи електропостачання)</t>
  </si>
  <si>
    <t>Капітальний ремонт приміщень лабораторії пекарського та кондиторського виробництва Клеванського професійного ліцею по вул. Б.Хмельницького, 89 в смт. Клевань Рівненського району Рівненської області (заміна системи вентиляції), у тому числі проектні роботи</t>
  </si>
  <si>
    <t>Реконструкція системи  зовнішнього внутрішньоквартального водовідведення Радивилівського професійного ліцею по вул. Парковій, 26 в м. Радивилів, Радивилівського району, Рівненської області</t>
  </si>
  <si>
    <t>Капітальний ремонт будівлі гуртожитку (заміна дверних та вікононних блоків) за адресою: Рівненська область, м.Острог, вул.Татарська, 122А</t>
  </si>
  <si>
    <t>Капітальний ремонт покрівлі  даху будівлі корпусу теоритичних занять з переходом за адресою: Рівненська область, м.Острог, вул. Татарська, 122А</t>
  </si>
  <si>
    <t>Капітальний ремонт протирадіаційного укриття у підвальному приміщенні головного корпусу КЗ "Ясининицький навчально-реабілітаційний центр"Рівненської обласної ради, проектні роботи</t>
  </si>
  <si>
    <t>0611070</t>
  </si>
  <si>
    <t>1070</t>
  </si>
  <si>
    <t xml:space="preserve">Надання загальної середньої освіти спеціалізованими закладами загальної середньої освіти                                                                                                 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</si>
  <si>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                                                                                                      </t>
  </si>
  <si>
    <t>за рахунок залишку коштів освітньої субвенції, що утворився на початок бюджетного періоду</t>
  </si>
  <si>
    <t>0611030</t>
  </si>
  <si>
    <t>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</si>
  <si>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</si>
  <si>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0611040</t>
  </si>
  <si>
    <t>Надання загальної середньої освіти санаторними закладами загальної середньої освіти з відповідним профілем для дітей, які потребують тривалого лікування</t>
  </si>
  <si>
    <t>Капітальний ремонт навчально-виробничої лабораторії по технології виробництва продукції тваринництва Млинівського державного технолого-економічного коледжу по вул. І. Франка, 1 в смт. Млинів Млинівського району Рівненської області</t>
  </si>
  <si>
    <t>з селищного бюджету Млинівської об’єднаної територіальної громади Млинівського району</t>
  </si>
  <si>
    <r>
      <t xml:space="preserve">Капітальний ремонт  системи автоматичної пожежної сигналізації та системи оповіщення про пожежу  підвального приміщення  головного корпусу КЗ "Ясининицький навчально-реабілітаційний центр" Рівненської обласної ради, </t>
    </r>
    <r>
      <rPr>
        <i/>
        <sz val="11"/>
        <rFont val="Times New Roman"/>
        <family val="1"/>
      </rPr>
      <t>проектні роботи</t>
    </r>
  </si>
  <si>
    <r>
      <t>Капітальний ремонт  системи автоматичної пожежної сигналізації та системи оповіщення про пожежу  газової котельні  КЗ "Ясининицький навчально-реабілітаційний центр" Рівненської обласної ради,</t>
    </r>
    <r>
      <rPr>
        <i/>
        <sz val="11"/>
        <rFont val="Times New Roman"/>
        <family val="1"/>
      </rPr>
      <t xml:space="preserve"> проектні роботи</t>
    </r>
  </si>
  <si>
    <r>
      <t xml:space="preserve">Капітальний ремонт  системи автоматичної пожежної сигналізації та системи оповіщення про пожежу  очисних споруд  КЗ "Ясининицький навчально-реабілітаційний центр" Рівненської обласної ради, </t>
    </r>
    <r>
      <rPr>
        <i/>
        <sz val="11"/>
        <rFont val="Times New Roman"/>
        <family val="1"/>
      </rPr>
      <t>проектні роботи</t>
    </r>
  </si>
  <si>
    <t xml:space="preserve">з міського бюджету міста Сарни </t>
  </si>
  <si>
    <t>Для ВПУ №22 м.Сарни на капітальний ремонт лабораторії по створенню навчально-практичного центру за професією майстер з діагностики та налагодження електронного устаткування та технічного обслуговування автомобільних засобів (в т.ч. ПКД)</t>
  </si>
  <si>
    <t>0619360</t>
  </si>
  <si>
    <t>9360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</si>
  <si>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</si>
  <si>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 xml:space="preserve">Коригування проектно-кошторисної документації по об'єкту: "Реконструкція будівлі сільської ради під дошкільний навчальний заклад по вул. Молодіжна, 1 в с. Новоукраїнка, Млинівського району Рівненської області" </t>
  </si>
  <si>
    <t xml:space="preserve">Будівництво Озерецької ЗОШ І-ІІ ст. в с. Озерці Володимирецького району Рівненської області          </t>
  </si>
  <si>
    <t>2014-2020</t>
  </si>
  <si>
    <t xml:space="preserve">Реконструкція будівлі Жобринської ЗОШ І-ІІІ ст. по вул. Центральній, 3 в с. Жобрин Рівненського району Рівненської області </t>
  </si>
  <si>
    <t>Коригування проектно-кошторисної документації по об'єкту: "Реконструкція будівлі Жобринської ЗОШ І-ІІІ ст. по вул. Центральній, 3 в с. Жобрин Рівненського району Рівненської області "</t>
  </si>
  <si>
    <t xml:space="preserve">Коригування проектно-кошторисної документації по об'єкту: "Реконструкція ДНЗ № 3 «Веселка» по вул.Свободи, 21 в смт. Клесів Сарненського району Рівненської області" </t>
  </si>
  <si>
    <t>Будівництво медичних установ та закладів</t>
  </si>
  <si>
    <t>Реконструкція приймального відділення Рівненської обласної клінічної лікарні за адресою: вул. Київська, 78-г, м. Рівне (у т.ч. проектно-кошторисна документація)</t>
  </si>
  <si>
    <t>Коригування проектно-кошторисної документації по об'єкту: "Будівництво універсального спортивного залу спортивного комплексу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м. Рівне)"</t>
  </si>
  <si>
    <t xml:space="preserve">Реконструкція будівлі Комунального закладу "Рівненська обласна універсальна наукова бібліотека" Рівненської обласної ради по                    вул. Короленка, 6, м. Рівне </t>
  </si>
  <si>
    <t>Коригування проектно-кошторисної документації по об'єкту: "Реконструкція будівлі Комунального закладу "Рівненська обласна універсальна наукова бібліотека" Рівненської обласної ради по вул. Короленка, 6, м. Рівне»"</t>
  </si>
  <si>
    <t>Інші субвенції з місцевого бюджету</t>
  </si>
  <si>
    <t>з районного бюджету Березнівського району</t>
  </si>
  <si>
    <t>Співфінансування проекту «Реконструкція очисних споруд продуктивністю 1500 м3/добу м. Березне Рівненської області»</t>
  </si>
  <si>
    <t xml:space="preserve">Співфінансування проекту «Будівництво дошкільного навчального закладу на 150 місць на вул. Богдана Хмельницького в м. Березне Рівненської області» </t>
  </si>
  <si>
    <t>з районного бюджету Дубровицького району</t>
  </si>
  <si>
    <t>Співфінансування будівництва спортивно-оздоровчого комплексу по вул. Червоного Хреста, 25 в м. Дубровиця Рівненської області</t>
  </si>
  <si>
    <t>2019-2021</t>
  </si>
  <si>
    <t>з селищного бюджету Клеванської об"єднаної територіальної громади Рівненського району</t>
  </si>
  <si>
    <t>Будівництво універсального спортивного залу спортивного комплексу комунального закладу "Обласна спеціалізована дитячо-юнацька школа олімпійського резерву" Рівненської обласної ради на території Шпанівської сільської ради (в районі вул. Макарова м. Рівне)</t>
  </si>
  <si>
    <t>з сільського бюджету Шпанівської об"єднаної територіальної громади Рівненського району</t>
  </si>
  <si>
    <t xml:space="preserve">Співфінансування об'єкту «Будівництво універсального спортивного залу спортивного комплексу комунального  закладу «Обласна спеціалізована дитячо-юнацька школа олімпійського резерву» Рівненської обласної ради на території Шпанівської сільської ради (в районі вул. Макарова м. Рівне)» </t>
  </si>
  <si>
    <t>2019 - 2020</t>
  </si>
  <si>
    <t>Реконструкція фельдшерсько-акушерського пункту під амбулаторію загальної практики сімейної медицини по вул. Кузнецова, 30 в с. Поліське Березнівського району Рівненської області</t>
  </si>
  <si>
    <t>Реконструкція фельдшерсько-акушерського пункту під амбулаторію загальної практики сімейної медицини по вул. Л.Українки, 105А в с. Поляни Березнівського району Рівненської області</t>
  </si>
  <si>
    <t xml:space="preserve">Співфінансування проекту «Реконструкція фельдшерсько-акушерського пункту під амбулаторію загальної практики сімейної медицини по вул. Нова, 2 в с. Кам'янка Березнівського району Рівненської області» </t>
  </si>
  <si>
    <t>з сільського бюджету Бабинської об"єднаної територіальної громади Гощанського району</t>
  </si>
  <si>
    <t>Співфінансування об'єкту "Реконструкція нежитлового приміщення під АЗПСМ по вул. Пушкіна, 19 в с. Бабин Гощанського району Рівненської області"</t>
  </si>
  <si>
    <t>з сільського бюджету Головницької сільської ради Корецького району</t>
  </si>
  <si>
    <t>Реконструкція фельдшерсько-акушерського пункту під лікарську амбулаторію загальної практики сімейної медицини по вул. Центральна, 6 в с. Головниця Корецького району</t>
  </si>
  <si>
    <t>2018 - 2020</t>
  </si>
  <si>
    <t>з сільського бюджету Великоклецьківської сільської ради Корецького району</t>
  </si>
  <si>
    <t xml:space="preserve">з районного бюджету Березнівського району за рахунок субвенції з місцевого бюджету за рахунок залишку коштів освітньої субвенції, що утворився на початок бюджетного року                            </t>
  </si>
  <si>
    <t>Реконструкція приміщення філії Яцьковицька загальноосвітня школа І-ІІ ступенів опорного закладу Балашівська загальноосвітня школа І-ІІІ ступенів Березнівської районної ради Рівненської області по вул. Шкільна, 2 в с. Яцьковичі Березнівського району Рівненської області</t>
  </si>
  <si>
    <t>Реконструкція ДНЗ № 3 «Веселка» по вул. Свободи, 21 в смт Клесів, Сарненського району Рівненської області</t>
  </si>
  <si>
    <t>Реконструкція опорного закладу Прислуцький навчально-виховний комплекс «Загальноосвітня школа І-ІІІ ступенів – дошкільний навчальний заклад» Березнівської районної ради Рівненської області по вул. Андріївській, 91 в с. Прислуч Березнівського району Рівненської області</t>
  </si>
  <si>
    <t>Будівництво загальноосвітньої школи ІІ-ІІІ ступенів за адресою: с. Вири вул. Шкільна, 33 Сарненського району Рівненської області (у т.ч. проектно-кошторисна документація)</t>
  </si>
  <si>
    <t>0219800</t>
  </si>
  <si>
    <t>Реконструкція басейну ЗОШ І-ІІІ ст. № 7 по пров. Шкільному, 2, в м. Дубно Рівненської області (в т.ч. на коригування ПКД)</t>
  </si>
  <si>
    <t>за рахунок інших субвенцій з місцевих бюджетів</t>
  </si>
  <si>
    <t>в т.ч.</t>
  </si>
  <si>
    <t>з селищного бюджету Клесівської об"єднаної територіальної громади Сарненського району</t>
  </si>
  <si>
    <t xml:space="preserve">Реконструкція будівлі Горбаківського НВК по вул. Шкільній, 8 в с. Горбаків Гощанського району Рівненської області </t>
  </si>
  <si>
    <t xml:space="preserve">Реконструкція будівлі сільської ради під дошкільний навчальний заклад по  вул. Молодіжна, 1 в с. Новоукраїнка, Млинівського району Рівненської області </t>
  </si>
  <si>
    <t>Нове будівництво лікарської амбулаторії загальної практики сімейної медицини по вул. Жовтнева в с. Томашгород Рокитнівського району</t>
  </si>
  <si>
    <t xml:space="preserve">Нове будівництво лікарської амбулаторії загальної практики сімейної медицини по вул. Молодіжна в с. Блажове Рокитнівського району </t>
  </si>
  <si>
    <t xml:space="preserve">Нове будівництво лікарської амбулаторії загальної практики сімейної медицини по вул. Центральна в с. Кухітська Воля Зарічненського району </t>
  </si>
  <si>
    <t>з сільського бюджету Вирівської сільської ради Сарненського району</t>
  </si>
  <si>
    <t>0712030</t>
  </si>
  <si>
    <t>0733</t>
  </si>
  <si>
    <t>Лікарсько-акушерська допомога вагітним, породіллям та новонародженим</t>
  </si>
  <si>
    <t>1519360</t>
  </si>
  <si>
    <t>На коригування проектно-кошторисної документації по об'єкту "Будівництво дитячого дошкільного закладу по вул.Свободи,14 в с.Колоденка Рівненського району"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</si>
  <si>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</si>
  <si>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</si>
  <si>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</si>
  <si>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</si>
  <si>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Будівництво спортивного майданчика у Клеванському ліцеї № 2 Клеванської селищної ради по вул. Заводська, 86 смт. Клевань Рівненського району Рівненської області</t>
  </si>
  <si>
    <t>Співфінансування об’єкта «Будівництво дошкільного навчального закладу ясла-садок за адресою вул. Коновальця, 16 у м. Рівному»</t>
  </si>
  <si>
    <t xml:space="preserve">за рахунок субвенції з державного бюджету місцевим бюджетам на забезпечення якісної, сучасної та доступної загальної середньої освіти “Нова українська школа” </t>
  </si>
  <si>
    <t>з міського бюджету міста Рівного</t>
  </si>
  <si>
    <t xml:space="preserve">з міського бюджету міста Дубно </t>
  </si>
  <si>
    <t>Будівництво дошкільного навчального закладу в районі військового містечка в  м. Дубно, вул. Семидубська, 32б</t>
  </si>
  <si>
    <t>від  17 березня_2020 року № 1625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</si>
</sst>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"/>
    <numFmt numFmtId="211" formatCode="0.000"/>
  </numFmts>
  <fonts count="6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3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13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sz val="13"/>
      <name val="Times New Roman"/>
      <family val="1"/>
    </font>
    <font>
      <b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>
      <alignment vertical="top"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15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0" fillId="31" borderId="8" applyNumberFormat="0" applyFont="0" applyAlignment="0" applyProtection="0"/>
    <xf numFmtId="0" fontId="59" fillId="29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1" fillId="0" borderId="10" xfId="49" applyNumberFormat="1" applyFont="1" applyBorder="1">
      <alignment vertical="top"/>
      <protection/>
    </xf>
    <xf numFmtId="19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99" fontId="2" fillId="0" borderId="10" xfId="49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199" fontId="2" fillId="0" borderId="12" xfId="0" applyNumberFormat="1" applyFont="1" applyFill="1" applyBorder="1" applyAlignment="1" applyProtection="1">
      <alignment horizontal="right" vertical="center" wrapText="1"/>
      <protection/>
    </xf>
    <xf numFmtId="199" fontId="2" fillId="0" borderId="10" xfId="0" applyNumberFormat="1" applyFont="1" applyFill="1" applyBorder="1" applyAlignment="1" applyProtection="1">
      <alignment horizontal="right" vertical="center" wrapText="1"/>
      <protection/>
    </xf>
    <xf numFmtId="199" fontId="21" fillId="0" borderId="12" xfId="0" applyNumberFormat="1" applyFont="1" applyFill="1" applyBorder="1" applyAlignment="1" applyProtection="1">
      <alignment horizontal="right" vertical="center" wrapText="1"/>
      <protection/>
    </xf>
    <xf numFmtId="3" fontId="21" fillId="0" borderId="10" xfId="0" applyNumberFormat="1" applyFont="1" applyFill="1" applyBorder="1" applyAlignment="1" applyProtection="1">
      <alignment horizontal="right" vertical="center" wrapText="1"/>
      <protection/>
    </xf>
    <xf numFmtId="3" fontId="21" fillId="34" borderId="10" xfId="0" applyNumberFormat="1" applyFont="1" applyFill="1" applyBorder="1" applyAlignment="1" applyProtection="1">
      <alignment horizontal="right" vertical="center" wrapText="1"/>
      <protection/>
    </xf>
    <xf numFmtId="4" fontId="21" fillId="34" borderId="10" xfId="0" applyNumberFormat="1" applyFont="1" applyFill="1" applyBorder="1" applyAlignment="1" applyProtection="1">
      <alignment horizontal="right" vertical="center" wrapText="1"/>
      <protection/>
    </xf>
    <xf numFmtId="199" fontId="21" fillId="34" borderId="12" xfId="0" applyNumberFormat="1" applyFont="1" applyFill="1" applyBorder="1" applyAlignment="1" applyProtection="1">
      <alignment horizontal="right" vertical="center" wrapText="1"/>
      <protection/>
    </xf>
    <xf numFmtId="199" fontId="23" fillId="34" borderId="10" xfId="0" applyNumberFormat="1" applyFont="1" applyFill="1" applyBorder="1" applyAlignment="1" applyProtection="1">
      <alignment horizontal="right" vertical="center" wrapText="1"/>
      <protection/>
    </xf>
    <xf numFmtId="3" fontId="23" fillId="34" borderId="10" xfId="0" applyNumberFormat="1" applyFont="1" applyFill="1" applyBorder="1" applyAlignment="1" applyProtection="1">
      <alignment horizontal="right" vertical="center" wrapText="1"/>
      <protection/>
    </xf>
    <xf numFmtId="4" fontId="23" fillId="34" borderId="10" xfId="0" applyNumberFormat="1" applyFont="1" applyFill="1" applyBorder="1" applyAlignment="1" applyProtection="1">
      <alignment horizontal="right" vertical="center" wrapText="1"/>
      <protection/>
    </xf>
    <xf numFmtId="199" fontId="21" fillId="0" borderId="10" xfId="0" applyNumberFormat="1" applyFont="1" applyFill="1" applyBorder="1" applyAlignment="1" applyProtection="1">
      <alignment horizontal="right" vertical="center" wrapText="1"/>
      <protection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199" fontId="21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34" borderId="10" xfId="0" applyFont="1" applyFill="1" applyBorder="1" applyAlignment="1">
      <alignment horizontal="right" vertical="center" wrapText="1"/>
    </xf>
    <xf numFmtId="3" fontId="21" fillId="34" borderId="11" xfId="0" applyNumberFormat="1" applyFont="1" applyFill="1" applyBorder="1" applyAlignment="1" applyProtection="1">
      <alignment horizontal="right" vertical="center" wrapText="1"/>
      <protection/>
    </xf>
    <xf numFmtId="3" fontId="23" fillId="34" borderId="11" xfId="0" applyNumberFormat="1" applyFont="1" applyFill="1" applyBorder="1" applyAlignment="1" applyProtection="1">
      <alignment horizontal="right" vertical="center" wrapText="1"/>
      <protection/>
    </xf>
    <xf numFmtId="0" fontId="23" fillId="34" borderId="10" xfId="0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3" fontId="21" fillId="34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 applyProtection="1">
      <alignment vertical="top"/>
      <protection/>
    </xf>
    <xf numFmtId="49" fontId="13" fillId="34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right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19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 wrapText="1"/>
    </xf>
    <xf numFmtId="188" fontId="2" fillId="0" borderId="10" xfId="0" applyNumberFormat="1" applyFont="1" applyBorder="1" applyAlignment="1">
      <alignment horizontal="right" vertical="center" wrapText="1"/>
    </xf>
    <xf numFmtId="188" fontId="21" fillId="0" borderId="10" xfId="0" applyNumberFormat="1" applyFont="1" applyBorder="1" applyAlignment="1">
      <alignment horizontal="right" vertical="center" wrapText="1"/>
    </xf>
    <xf numFmtId="188" fontId="2" fillId="33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188" fontId="24" fillId="0" borderId="10" xfId="0" applyNumberFormat="1" applyFont="1" applyBorder="1" applyAlignment="1">
      <alignment horizontal="right" vertical="center" wrapText="1"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0" xfId="0" applyNumberFormat="1" applyFont="1" applyFill="1" applyBorder="1" applyAlignment="1">
      <alignment horizontal="right" vertical="center"/>
    </xf>
    <xf numFmtId="188" fontId="21" fillId="34" borderId="10" xfId="0" applyNumberFormat="1" applyFont="1" applyFill="1" applyBorder="1" applyAlignment="1" applyProtection="1">
      <alignment horizontal="right" vertical="center" wrapText="1"/>
      <protection/>
    </xf>
    <xf numFmtId="188" fontId="20" fillId="35" borderId="10" xfId="0" applyNumberFormat="1" applyFont="1" applyFill="1" applyBorder="1" applyAlignment="1" applyProtection="1">
      <alignment horizontal="center" vertical="center" wrapText="1"/>
      <protection/>
    </xf>
    <xf numFmtId="188" fontId="23" fillId="34" borderId="10" xfId="0" applyNumberFormat="1" applyFont="1" applyFill="1" applyBorder="1" applyAlignment="1" applyProtection="1">
      <alignment horizontal="right" vertical="center" wrapText="1"/>
      <protection/>
    </xf>
    <xf numFmtId="188" fontId="21" fillId="0" borderId="10" xfId="0" applyNumberFormat="1" applyFont="1" applyFill="1" applyBorder="1" applyAlignment="1" applyProtection="1">
      <alignment horizontal="right" vertical="center" wrapText="1"/>
      <protection/>
    </xf>
    <xf numFmtId="188" fontId="21" fillId="0" borderId="10" xfId="0" applyNumberFormat="1" applyFont="1" applyFill="1" applyBorder="1" applyAlignment="1">
      <alignment horizontal="right" vertical="center"/>
    </xf>
    <xf numFmtId="188" fontId="21" fillId="34" borderId="10" xfId="0" applyNumberFormat="1" applyFont="1" applyFill="1" applyBorder="1" applyAlignment="1">
      <alignment horizontal="right" vertical="center" wrapText="1"/>
    </xf>
    <xf numFmtId="188" fontId="2" fillId="33" borderId="10" xfId="0" applyNumberFormat="1" applyFont="1" applyFill="1" applyBorder="1" applyAlignment="1">
      <alignment vertical="center" wrapText="1"/>
    </xf>
    <xf numFmtId="188" fontId="11" fillId="0" borderId="10" xfId="49" applyNumberFormat="1" applyFont="1" applyBorder="1">
      <alignment vertical="top"/>
      <protection/>
    </xf>
    <xf numFmtId="188" fontId="12" fillId="0" borderId="10" xfId="0" applyNumberFormat="1" applyFont="1" applyFill="1" applyBorder="1" applyAlignment="1" applyProtection="1">
      <alignment vertical="top"/>
      <protection/>
    </xf>
    <xf numFmtId="199" fontId="21" fillId="0" borderId="10" xfId="0" applyNumberFormat="1" applyFont="1" applyBorder="1" applyAlignment="1">
      <alignment horizontal="right" vertical="center" wrapText="1"/>
    </xf>
    <xf numFmtId="199" fontId="1" fillId="33" borderId="10" xfId="0" applyNumberFormat="1" applyFont="1" applyFill="1" applyBorder="1" applyAlignment="1">
      <alignment horizontal="right" vertical="center"/>
    </xf>
    <xf numFmtId="199" fontId="63" fillId="0" borderId="10" xfId="0" applyNumberFormat="1" applyFont="1" applyBorder="1" applyAlignment="1">
      <alignment horizontal="right" vertical="center" wrapText="1"/>
    </xf>
    <xf numFmtId="199" fontId="64" fillId="0" borderId="10" xfId="0" applyNumberFormat="1" applyFont="1" applyBorder="1" applyAlignment="1">
      <alignment horizontal="right" vertical="center" wrapText="1"/>
    </xf>
    <xf numFmtId="199" fontId="21" fillId="0" borderId="10" xfId="0" applyNumberFormat="1" applyFont="1" applyFill="1" applyBorder="1" applyAlignment="1">
      <alignment horizontal="right" vertical="center" wrapText="1"/>
    </xf>
    <xf numFmtId="199" fontId="1" fillId="0" borderId="10" xfId="0" applyNumberFormat="1" applyFont="1" applyFill="1" applyBorder="1" applyAlignment="1" applyProtection="1">
      <alignment horizontal="right" vertical="center" wrapText="1"/>
      <protection/>
    </xf>
    <xf numFmtId="199" fontId="2" fillId="0" borderId="10" xfId="0" applyNumberFormat="1" applyFont="1" applyFill="1" applyBorder="1" applyAlignment="1">
      <alignment horizontal="right" vertical="center"/>
    </xf>
    <xf numFmtId="199" fontId="24" fillId="0" borderId="10" xfId="0" applyNumberFormat="1" applyFont="1" applyFill="1" applyBorder="1" applyAlignment="1" applyProtection="1">
      <alignment horizontal="right" vertical="center" wrapText="1"/>
      <protection/>
    </xf>
    <xf numFmtId="199" fontId="21" fillId="0" borderId="10" xfId="0" applyNumberFormat="1" applyFont="1" applyFill="1" applyBorder="1" applyAlignment="1">
      <alignment horizontal="right" vertical="center"/>
    </xf>
    <xf numFmtId="199" fontId="24" fillId="34" borderId="10" xfId="0" applyNumberFormat="1" applyFont="1" applyFill="1" applyBorder="1" applyAlignment="1" applyProtection="1">
      <alignment horizontal="right" vertical="center" wrapText="1"/>
      <protection/>
    </xf>
    <xf numFmtId="199" fontId="14" fillId="33" borderId="10" xfId="0" applyNumberFormat="1" applyFont="1" applyFill="1" applyBorder="1" applyAlignment="1">
      <alignment horizontal="right" vertical="center"/>
    </xf>
    <xf numFmtId="199" fontId="16" fillId="0" borderId="10" xfId="0" applyNumberFormat="1" applyFont="1" applyFill="1" applyBorder="1" applyAlignment="1">
      <alignment horizontal="right" vertical="top" wrapText="1"/>
    </xf>
    <xf numFmtId="199" fontId="14" fillId="0" borderId="10" xfId="0" applyNumberFormat="1" applyFont="1" applyFill="1" applyBorder="1" applyAlignment="1" applyProtection="1">
      <alignment vertical="top"/>
      <protection/>
    </xf>
    <xf numFmtId="3" fontId="2" fillId="33" borderId="10" xfId="0" applyNumberFormat="1" applyFont="1" applyFill="1" applyBorder="1" applyAlignment="1">
      <alignment vertical="center" wrapText="1"/>
    </xf>
    <xf numFmtId="3" fontId="11" fillId="0" borderId="10" xfId="49" applyNumberFormat="1" applyFont="1" applyBorder="1">
      <alignment vertical="top"/>
      <protection/>
    </xf>
    <xf numFmtId="3" fontId="12" fillId="0" borderId="10" xfId="0" applyNumberFormat="1" applyFont="1" applyFill="1" applyBorder="1" applyAlignment="1" applyProtection="1">
      <alignment vertical="top"/>
      <protection/>
    </xf>
    <xf numFmtId="199" fontId="21" fillId="0" borderId="10" xfId="49" applyNumberFormat="1" applyFont="1" applyBorder="1" applyAlignment="1">
      <alignment vertical="top" wrapText="1"/>
      <protection/>
    </xf>
    <xf numFmtId="49" fontId="21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199" fontId="20" fillId="35" borderId="10" xfId="0" applyNumberFormat="1" applyFont="1" applyFill="1" applyBorder="1" applyAlignment="1" applyProtection="1">
      <alignment horizontal="right" vertical="center" wrapText="1"/>
      <protection/>
    </xf>
    <xf numFmtId="49" fontId="25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" fontId="21" fillId="34" borderId="10" xfId="0" applyNumberFormat="1" applyFont="1" applyFill="1" applyBorder="1" applyAlignment="1" applyProtection="1">
      <alignment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86" fontId="5" fillId="0" borderId="0" xfId="42" applyFont="1" applyFill="1" applyBorder="1" applyAlignment="1" applyProtection="1">
      <alignment horizontal="left" vertical="top" wrapText="1"/>
      <protection locked="0"/>
    </xf>
    <xf numFmtId="49" fontId="19" fillId="0" borderId="13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25" defaultRowHeight="12.75"/>
  <cols>
    <col min="1" max="1" width="13.50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7" width="14.50390625" style="2" customWidth="1"/>
    <col min="8" max="8" width="13.00390625" style="2" customWidth="1"/>
    <col min="9" max="9" width="17.00390625" style="2" customWidth="1"/>
    <col min="10" max="10" width="12.50390625" style="2" customWidth="1"/>
    <col min="11" max="16384" width="9.125" style="2" customWidth="1"/>
  </cols>
  <sheetData>
    <row r="1" spans="1:9" ht="15">
      <c r="A1" s="3"/>
      <c r="B1" s="3"/>
      <c r="C1" s="3"/>
      <c r="H1" s="24" t="s">
        <v>3</v>
      </c>
      <c r="I1" s="24"/>
    </row>
    <row r="2" spans="1:8" ht="15">
      <c r="A2" s="3"/>
      <c r="B2" s="3"/>
      <c r="C2" s="3"/>
      <c r="H2" s="2" t="s">
        <v>0</v>
      </c>
    </row>
    <row r="3" spans="1:8" ht="15">
      <c r="A3" s="3"/>
      <c r="B3" s="3"/>
      <c r="C3" s="3"/>
      <c r="H3" s="16" t="s">
        <v>117</v>
      </c>
    </row>
    <row r="4" spans="1:8" ht="15">
      <c r="A4" s="3"/>
      <c r="B4" s="3"/>
      <c r="C4" s="3"/>
      <c r="H4" s="16" t="s">
        <v>118</v>
      </c>
    </row>
    <row r="5" spans="1:8" ht="14.25" customHeight="1">
      <c r="A5" s="1"/>
      <c r="B5" s="1"/>
      <c r="H5" s="2" t="s">
        <v>263</v>
      </c>
    </row>
    <row r="6" spans="2:10" ht="59.25" customHeight="1">
      <c r="B6" s="148" t="s">
        <v>50</v>
      </c>
      <c r="C6" s="148"/>
      <c r="D6" s="148"/>
      <c r="E6" s="148"/>
      <c r="F6" s="148"/>
      <c r="G6" s="148"/>
      <c r="H6" s="148"/>
      <c r="I6" s="148"/>
      <c r="J6" s="148"/>
    </row>
    <row r="7" spans="1:10" ht="17.25">
      <c r="A7" s="151">
        <v>17100000000</v>
      </c>
      <c r="B7" s="151"/>
      <c r="C7" s="31"/>
      <c r="D7" s="31"/>
      <c r="E7" s="31"/>
      <c r="F7" s="31"/>
      <c r="G7" s="31"/>
      <c r="H7" s="31"/>
      <c r="I7" s="31"/>
      <c r="J7" s="31"/>
    </row>
    <row r="8" spans="1:10" ht="17.25">
      <c r="A8" s="152" t="s">
        <v>27</v>
      </c>
      <c r="B8" s="152"/>
      <c r="C8" s="31"/>
      <c r="D8" s="31"/>
      <c r="E8" s="31"/>
      <c r="F8" s="31"/>
      <c r="G8" s="31"/>
      <c r="H8" s="31"/>
      <c r="I8" s="31"/>
      <c r="J8" s="31"/>
    </row>
    <row r="10" spans="1:10" ht="110.25">
      <c r="A10" s="28" t="s">
        <v>41</v>
      </c>
      <c r="B10" s="28" t="s">
        <v>42</v>
      </c>
      <c r="C10" s="28" t="s">
        <v>16</v>
      </c>
      <c r="D10" s="18" t="s">
        <v>43</v>
      </c>
      <c r="E10" s="8" t="s">
        <v>44</v>
      </c>
      <c r="F10" s="8" t="s">
        <v>45</v>
      </c>
      <c r="G10" s="8" t="s">
        <v>46</v>
      </c>
      <c r="H10" s="8" t="s">
        <v>47</v>
      </c>
      <c r="I10" s="8" t="s">
        <v>48</v>
      </c>
      <c r="J10" s="8" t="s">
        <v>49</v>
      </c>
    </row>
    <row r="11" spans="1:10" ht="15">
      <c r="A11" s="29">
        <v>1</v>
      </c>
      <c r="B11" s="29">
        <v>2</v>
      </c>
      <c r="C11" s="29">
        <v>3</v>
      </c>
      <c r="D11" s="25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ht="30.75">
      <c r="A12" s="7" t="s">
        <v>124</v>
      </c>
      <c r="B12" s="14"/>
      <c r="C12" s="5"/>
      <c r="D12" s="5" t="s">
        <v>125</v>
      </c>
      <c r="E12" s="7" t="s">
        <v>20</v>
      </c>
      <c r="F12" s="51"/>
      <c r="G12" s="51"/>
      <c r="H12" s="51"/>
      <c r="I12" s="80">
        <f>I13</f>
        <v>4113000</v>
      </c>
      <c r="J12" s="45"/>
    </row>
    <row r="13" spans="1:10" ht="30.75">
      <c r="A13" s="7" t="s">
        <v>126</v>
      </c>
      <c r="B13" s="14"/>
      <c r="C13" s="5"/>
      <c r="D13" s="5" t="s">
        <v>125</v>
      </c>
      <c r="E13" s="7"/>
      <c r="F13" s="51"/>
      <c r="G13" s="51"/>
      <c r="H13" s="51"/>
      <c r="I13" s="80">
        <f>I15+I14</f>
        <v>4113000</v>
      </c>
      <c r="J13" s="45"/>
    </row>
    <row r="14" spans="1:10" ht="46.5">
      <c r="A14" s="19" t="s">
        <v>253</v>
      </c>
      <c r="B14" s="19" t="s">
        <v>254</v>
      </c>
      <c r="C14" s="19" t="s">
        <v>255</v>
      </c>
      <c r="D14" s="144" t="s">
        <v>256</v>
      </c>
      <c r="E14" s="8"/>
      <c r="F14" s="52"/>
      <c r="G14" s="52"/>
      <c r="H14" s="52"/>
      <c r="I14" s="49">
        <v>123000</v>
      </c>
      <c r="J14" s="47"/>
    </row>
    <row r="15" spans="1:10" ht="46.5">
      <c r="A15" s="19" t="s">
        <v>237</v>
      </c>
      <c r="B15" s="20" t="s">
        <v>152</v>
      </c>
      <c r="C15" s="20" t="s">
        <v>19</v>
      </c>
      <c r="D15" s="21" t="s">
        <v>153</v>
      </c>
      <c r="E15" s="8"/>
      <c r="F15" s="52"/>
      <c r="G15" s="52"/>
      <c r="H15" s="52"/>
      <c r="I15" s="49">
        <f>4140000-150000</f>
        <v>3990000</v>
      </c>
      <c r="J15" s="47"/>
    </row>
    <row r="16" spans="1:10" ht="30.75">
      <c r="A16" s="7" t="s">
        <v>38</v>
      </c>
      <c r="B16" s="14"/>
      <c r="C16" s="5"/>
      <c r="D16" s="5" t="s">
        <v>39</v>
      </c>
      <c r="E16" s="7" t="s">
        <v>20</v>
      </c>
      <c r="F16" s="51"/>
      <c r="G16" s="51"/>
      <c r="H16" s="51"/>
      <c r="I16" s="80">
        <f>I17</f>
        <v>114399143</v>
      </c>
      <c r="J16" s="45"/>
    </row>
    <row r="17" spans="1:10" ht="30.75">
      <c r="A17" s="7" t="s">
        <v>40</v>
      </c>
      <c r="B17" s="14"/>
      <c r="C17" s="5"/>
      <c r="D17" s="5" t="s">
        <v>39</v>
      </c>
      <c r="E17" s="7"/>
      <c r="F17" s="51"/>
      <c r="G17" s="51"/>
      <c r="H17" s="51"/>
      <c r="I17" s="80">
        <f>I18+I33+I38+I39+I40+I47</f>
        <v>114399143</v>
      </c>
      <c r="J17" s="45"/>
    </row>
    <row r="18" spans="1:10" ht="46.5">
      <c r="A18" s="19"/>
      <c r="B18" s="20"/>
      <c r="C18" s="20"/>
      <c r="D18" s="21"/>
      <c r="E18" s="22" t="s">
        <v>184</v>
      </c>
      <c r="F18" s="87"/>
      <c r="G18" s="87"/>
      <c r="H18" s="87"/>
      <c r="I18" s="49">
        <f>SUM(I19:I32)</f>
        <v>10801801</v>
      </c>
      <c r="J18" s="48"/>
    </row>
    <row r="19" spans="1:10" ht="113.25" customHeight="1">
      <c r="A19" s="19" t="s">
        <v>164</v>
      </c>
      <c r="B19" s="20" t="s">
        <v>165</v>
      </c>
      <c r="C19" s="20" t="s">
        <v>166</v>
      </c>
      <c r="D19" s="21" t="s">
        <v>182</v>
      </c>
      <c r="E19" s="22" t="s">
        <v>167</v>
      </c>
      <c r="F19" s="87">
        <v>2020</v>
      </c>
      <c r="G19" s="48">
        <v>850000</v>
      </c>
      <c r="H19" s="107">
        <v>0</v>
      </c>
      <c r="I19" s="49">
        <v>850000</v>
      </c>
      <c r="J19" s="106">
        <v>100</v>
      </c>
    </row>
    <row r="20" spans="1:10" ht="78">
      <c r="A20" s="19" t="s">
        <v>164</v>
      </c>
      <c r="B20" s="20" t="s">
        <v>165</v>
      </c>
      <c r="C20" s="20" t="s">
        <v>166</v>
      </c>
      <c r="D20" s="21" t="s">
        <v>182</v>
      </c>
      <c r="E20" s="22" t="s">
        <v>168</v>
      </c>
      <c r="F20" s="87" t="s">
        <v>154</v>
      </c>
      <c r="G20" s="81">
        <v>15368998.4</v>
      </c>
      <c r="H20" s="107">
        <v>80</v>
      </c>
      <c r="I20" s="49">
        <f>3387436+200000</f>
        <v>3587436</v>
      </c>
      <c r="J20" s="106">
        <v>100</v>
      </c>
    </row>
    <row r="21" spans="1:10" ht="124.5">
      <c r="A21" s="19" t="s">
        <v>164</v>
      </c>
      <c r="B21" s="20" t="s">
        <v>165</v>
      </c>
      <c r="C21" s="20" t="s">
        <v>166</v>
      </c>
      <c r="D21" s="21" t="s">
        <v>182</v>
      </c>
      <c r="E21" s="22" t="s">
        <v>169</v>
      </c>
      <c r="F21" s="87" t="s">
        <v>59</v>
      </c>
      <c r="G21" s="48">
        <v>392000</v>
      </c>
      <c r="H21" s="107">
        <v>50</v>
      </c>
      <c r="I21" s="49">
        <v>197000</v>
      </c>
      <c r="J21" s="106">
        <v>100</v>
      </c>
    </row>
    <row r="22" spans="1:10" ht="124.5">
      <c r="A22" s="19" t="s">
        <v>164</v>
      </c>
      <c r="B22" s="20" t="s">
        <v>165</v>
      </c>
      <c r="C22" s="20" t="s">
        <v>166</v>
      </c>
      <c r="D22" s="21" t="s">
        <v>182</v>
      </c>
      <c r="E22" s="22" t="s">
        <v>170</v>
      </c>
      <c r="F22" s="87">
        <v>2020</v>
      </c>
      <c r="G22" s="48">
        <v>520000</v>
      </c>
      <c r="H22" s="107">
        <v>0</v>
      </c>
      <c r="I22" s="49">
        <v>520000</v>
      </c>
      <c r="J22" s="106">
        <v>100</v>
      </c>
    </row>
    <row r="23" spans="1:10" ht="93">
      <c r="A23" s="19" t="s">
        <v>180</v>
      </c>
      <c r="B23" s="20" t="s">
        <v>181</v>
      </c>
      <c r="C23" s="20" t="s">
        <v>166</v>
      </c>
      <c r="D23" s="21" t="s">
        <v>183</v>
      </c>
      <c r="E23" s="22" t="s">
        <v>179</v>
      </c>
      <c r="F23" s="87"/>
      <c r="G23" s="48">
        <v>607110</v>
      </c>
      <c r="H23" s="107">
        <v>0</v>
      </c>
      <c r="I23" s="49">
        <v>61480</v>
      </c>
      <c r="J23" s="106">
        <v>0</v>
      </c>
    </row>
    <row r="24" spans="1:10" ht="78">
      <c r="A24" s="19" t="s">
        <v>127</v>
      </c>
      <c r="B24" s="20" t="s">
        <v>128</v>
      </c>
      <c r="C24" s="20" t="s">
        <v>129</v>
      </c>
      <c r="D24" s="21" t="s">
        <v>130</v>
      </c>
      <c r="E24" s="22" t="s">
        <v>171</v>
      </c>
      <c r="F24" s="87">
        <v>2020</v>
      </c>
      <c r="G24" s="48">
        <v>2016000</v>
      </c>
      <c r="H24" s="107">
        <v>0</v>
      </c>
      <c r="I24" s="49">
        <v>2016000</v>
      </c>
      <c r="J24" s="106">
        <v>100</v>
      </c>
    </row>
    <row r="25" spans="1:10" ht="78">
      <c r="A25" s="19" t="s">
        <v>127</v>
      </c>
      <c r="B25" s="20" t="s">
        <v>128</v>
      </c>
      <c r="C25" s="20" t="s">
        <v>129</v>
      </c>
      <c r="D25" s="21" t="s">
        <v>130</v>
      </c>
      <c r="E25" s="22" t="s">
        <v>172</v>
      </c>
      <c r="F25" s="87">
        <v>2020</v>
      </c>
      <c r="G25" s="48">
        <v>400000</v>
      </c>
      <c r="H25" s="107">
        <v>0</v>
      </c>
      <c r="I25" s="49">
        <v>400000</v>
      </c>
      <c r="J25" s="106">
        <v>100</v>
      </c>
    </row>
    <row r="26" spans="1:10" ht="62.25">
      <c r="A26" s="19" t="s">
        <v>127</v>
      </c>
      <c r="B26" s="20" t="s">
        <v>128</v>
      </c>
      <c r="C26" s="20" t="s">
        <v>129</v>
      </c>
      <c r="D26" s="21" t="s">
        <v>130</v>
      </c>
      <c r="E26" s="22" t="s">
        <v>173</v>
      </c>
      <c r="F26" s="87">
        <v>2020</v>
      </c>
      <c r="G26" s="48">
        <v>1400000</v>
      </c>
      <c r="H26" s="107">
        <v>0</v>
      </c>
      <c r="I26" s="49">
        <v>1400000</v>
      </c>
      <c r="J26" s="106">
        <v>100</v>
      </c>
    </row>
    <row r="27" spans="1:10" ht="93">
      <c r="A27" s="19" t="s">
        <v>127</v>
      </c>
      <c r="B27" s="20" t="s">
        <v>128</v>
      </c>
      <c r="C27" s="20" t="s">
        <v>129</v>
      </c>
      <c r="D27" s="21" t="s">
        <v>130</v>
      </c>
      <c r="E27" s="22" t="s">
        <v>174</v>
      </c>
      <c r="F27" s="87" t="s">
        <v>59</v>
      </c>
      <c r="G27" s="48">
        <v>700980</v>
      </c>
      <c r="H27" s="107">
        <v>61</v>
      </c>
      <c r="I27" s="49">
        <v>272800</v>
      </c>
      <c r="J27" s="106">
        <v>100</v>
      </c>
    </row>
    <row r="28" spans="1:10" ht="108.75">
      <c r="A28" s="19" t="s">
        <v>127</v>
      </c>
      <c r="B28" s="20" t="s">
        <v>128</v>
      </c>
      <c r="C28" s="20" t="s">
        <v>129</v>
      </c>
      <c r="D28" s="21" t="s">
        <v>130</v>
      </c>
      <c r="E28" s="22" t="s">
        <v>175</v>
      </c>
      <c r="F28" s="87" t="s">
        <v>59</v>
      </c>
      <c r="G28" s="48">
        <v>468481</v>
      </c>
      <c r="H28" s="107">
        <v>0</v>
      </c>
      <c r="I28" s="49">
        <v>468481</v>
      </c>
      <c r="J28" s="106">
        <v>100</v>
      </c>
    </row>
    <row r="29" spans="1:10" ht="81" customHeight="1">
      <c r="A29" s="19" t="s">
        <v>127</v>
      </c>
      <c r="B29" s="20" t="s">
        <v>128</v>
      </c>
      <c r="C29" s="20" t="s">
        <v>129</v>
      </c>
      <c r="D29" s="21" t="s">
        <v>130</v>
      </c>
      <c r="E29" s="22" t="s">
        <v>176</v>
      </c>
      <c r="F29" s="87" t="s">
        <v>85</v>
      </c>
      <c r="G29" s="48">
        <v>1424680</v>
      </c>
      <c r="H29" s="107">
        <v>97</v>
      </c>
      <c r="I29" s="49">
        <v>48781</v>
      </c>
      <c r="J29" s="106">
        <v>100</v>
      </c>
    </row>
    <row r="30" spans="1:10" ht="62.25">
      <c r="A30" s="19" t="s">
        <v>127</v>
      </c>
      <c r="B30" s="20" t="s">
        <v>128</v>
      </c>
      <c r="C30" s="20" t="s">
        <v>129</v>
      </c>
      <c r="D30" s="21" t="s">
        <v>130</v>
      </c>
      <c r="E30" s="22" t="s">
        <v>177</v>
      </c>
      <c r="F30" s="87" t="s">
        <v>59</v>
      </c>
      <c r="G30" s="48">
        <v>1083784</v>
      </c>
      <c r="H30" s="107">
        <v>62</v>
      </c>
      <c r="I30" s="49">
        <v>407378</v>
      </c>
      <c r="J30" s="106">
        <v>100</v>
      </c>
    </row>
    <row r="31" spans="1:10" ht="62.25">
      <c r="A31" s="19" t="s">
        <v>127</v>
      </c>
      <c r="B31" s="20" t="s">
        <v>128</v>
      </c>
      <c r="C31" s="20" t="s">
        <v>129</v>
      </c>
      <c r="D31" s="21" t="s">
        <v>130</v>
      </c>
      <c r="E31" s="22" t="s">
        <v>178</v>
      </c>
      <c r="F31" s="87" t="s">
        <v>59</v>
      </c>
      <c r="G31" s="48">
        <v>1556485</v>
      </c>
      <c r="H31" s="107">
        <v>81</v>
      </c>
      <c r="I31" s="49">
        <v>272445</v>
      </c>
      <c r="J31" s="106">
        <v>100</v>
      </c>
    </row>
    <row r="32" spans="1:10" ht="46.5">
      <c r="A32" s="19" t="s">
        <v>127</v>
      </c>
      <c r="B32" s="20" t="s">
        <v>128</v>
      </c>
      <c r="C32" s="20" t="s">
        <v>129</v>
      </c>
      <c r="D32" s="21" t="s">
        <v>130</v>
      </c>
      <c r="E32" s="22"/>
      <c r="F32" s="87"/>
      <c r="G32" s="81"/>
      <c r="H32" s="107"/>
      <c r="I32" s="49">
        <v>300000</v>
      </c>
      <c r="J32" s="106"/>
    </row>
    <row r="33" spans="1:10" ht="62.25">
      <c r="A33" s="19"/>
      <c r="B33" s="20"/>
      <c r="C33" s="20"/>
      <c r="D33" s="21"/>
      <c r="E33" s="22" t="s">
        <v>259</v>
      </c>
      <c r="F33" s="87"/>
      <c r="G33" s="81"/>
      <c r="H33" s="107"/>
      <c r="I33" s="49">
        <f>SUM(I34:I37)</f>
        <v>385769</v>
      </c>
      <c r="J33" s="106"/>
    </row>
    <row r="34" spans="1:10" ht="62.25">
      <c r="A34" s="19" t="s">
        <v>185</v>
      </c>
      <c r="B34" s="23" t="s">
        <v>186</v>
      </c>
      <c r="C34" s="23" t="s">
        <v>166</v>
      </c>
      <c r="D34" s="90" t="s">
        <v>187</v>
      </c>
      <c r="E34" s="22"/>
      <c r="F34" s="87"/>
      <c r="G34" s="81"/>
      <c r="H34" s="107"/>
      <c r="I34" s="49">
        <v>265216</v>
      </c>
      <c r="J34" s="106"/>
    </row>
    <row r="35" spans="1:10" ht="62.25">
      <c r="A35" s="19" t="s">
        <v>188</v>
      </c>
      <c r="B35" s="20" t="s">
        <v>31</v>
      </c>
      <c r="C35" s="20" t="s">
        <v>166</v>
      </c>
      <c r="D35" s="90" t="s">
        <v>189</v>
      </c>
      <c r="E35" s="22"/>
      <c r="F35" s="87"/>
      <c r="G35" s="81"/>
      <c r="H35" s="107"/>
      <c r="I35" s="49">
        <v>48221</v>
      </c>
      <c r="J35" s="106"/>
    </row>
    <row r="36" spans="1:10" ht="46.5">
      <c r="A36" s="19" t="s">
        <v>164</v>
      </c>
      <c r="B36" s="23" t="s">
        <v>165</v>
      </c>
      <c r="C36" s="23" t="s">
        <v>166</v>
      </c>
      <c r="D36" s="90" t="s">
        <v>182</v>
      </c>
      <c r="E36" s="22"/>
      <c r="F36" s="87"/>
      <c r="G36" s="81"/>
      <c r="H36" s="107"/>
      <c r="I36" s="49">
        <v>24111</v>
      </c>
      <c r="J36" s="106"/>
    </row>
    <row r="37" spans="1:10" ht="78">
      <c r="A37" s="19" t="s">
        <v>180</v>
      </c>
      <c r="B37" s="23" t="s">
        <v>181</v>
      </c>
      <c r="C37" s="23" t="s">
        <v>166</v>
      </c>
      <c r="D37" s="90" t="s">
        <v>183</v>
      </c>
      <c r="E37" s="22"/>
      <c r="F37" s="87"/>
      <c r="G37" s="81"/>
      <c r="H37" s="107"/>
      <c r="I37" s="49">
        <v>48221</v>
      </c>
      <c r="J37" s="106"/>
    </row>
    <row r="38" spans="1:10" ht="46.5">
      <c r="A38" s="19" t="s">
        <v>127</v>
      </c>
      <c r="B38" s="20" t="s">
        <v>128</v>
      </c>
      <c r="C38" s="20" t="s">
        <v>129</v>
      </c>
      <c r="D38" s="21" t="s">
        <v>130</v>
      </c>
      <c r="E38" s="22"/>
      <c r="F38" s="87"/>
      <c r="G38" s="81"/>
      <c r="H38" s="107"/>
      <c r="I38" s="49">
        <v>1442000</v>
      </c>
      <c r="J38" s="106"/>
    </row>
    <row r="39" spans="1:10" ht="15">
      <c r="A39" s="19" t="s">
        <v>131</v>
      </c>
      <c r="B39" s="20" t="s">
        <v>132</v>
      </c>
      <c r="C39" s="20" t="s">
        <v>133</v>
      </c>
      <c r="D39" s="21" t="s">
        <v>134</v>
      </c>
      <c r="E39" s="22"/>
      <c r="F39" s="87"/>
      <c r="G39" s="81"/>
      <c r="H39" s="107"/>
      <c r="I39" s="49">
        <v>60617880</v>
      </c>
      <c r="J39" s="106"/>
    </row>
    <row r="40" spans="1:10" ht="15">
      <c r="A40" s="19" t="s">
        <v>120</v>
      </c>
      <c r="B40" s="20" t="s">
        <v>121</v>
      </c>
      <c r="C40" s="20" t="s">
        <v>119</v>
      </c>
      <c r="D40" s="21" t="s">
        <v>122</v>
      </c>
      <c r="E40" s="22"/>
      <c r="F40" s="87"/>
      <c r="G40" s="81"/>
      <c r="H40" s="107"/>
      <c r="I40" s="49">
        <f>SUM(I41:I46)</f>
        <v>1120000</v>
      </c>
      <c r="J40" s="106"/>
    </row>
    <row r="41" spans="1:10" ht="96.75" customHeight="1">
      <c r="A41" s="91"/>
      <c r="B41" s="92"/>
      <c r="C41" s="92"/>
      <c r="D41" s="42" t="s">
        <v>191</v>
      </c>
      <c r="E41" s="74" t="s">
        <v>190</v>
      </c>
      <c r="F41" s="78"/>
      <c r="G41" s="50"/>
      <c r="H41" s="108"/>
      <c r="I41" s="76">
        <v>500000</v>
      </c>
      <c r="J41" s="123"/>
    </row>
    <row r="42" spans="1:10" ht="110.25" customHeight="1">
      <c r="A42" s="91"/>
      <c r="B42" s="92"/>
      <c r="C42" s="92"/>
      <c r="D42" s="42" t="s">
        <v>195</v>
      </c>
      <c r="E42" s="74" t="s">
        <v>196</v>
      </c>
      <c r="F42" s="78"/>
      <c r="G42" s="50"/>
      <c r="H42" s="108"/>
      <c r="I42" s="76">
        <v>250000</v>
      </c>
      <c r="J42" s="123"/>
    </row>
    <row r="43" spans="1:10" ht="108.75">
      <c r="A43" s="94" t="s">
        <v>120</v>
      </c>
      <c r="B43" s="94" t="s">
        <v>121</v>
      </c>
      <c r="C43" s="94" t="s">
        <v>119</v>
      </c>
      <c r="D43" s="95" t="s">
        <v>122</v>
      </c>
      <c r="E43" s="74" t="s">
        <v>192</v>
      </c>
      <c r="F43" s="78"/>
      <c r="G43" s="50">
        <v>300000</v>
      </c>
      <c r="H43" s="108"/>
      <c r="I43" s="76">
        <v>30000</v>
      </c>
      <c r="J43" s="123"/>
    </row>
    <row r="44" spans="1:10" ht="93">
      <c r="A44" s="94" t="s">
        <v>120</v>
      </c>
      <c r="B44" s="94" t="s">
        <v>121</v>
      </c>
      <c r="C44" s="94" t="s">
        <v>119</v>
      </c>
      <c r="D44" s="95" t="s">
        <v>122</v>
      </c>
      <c r="E44" s="74" t="s">
        <v>193</v>
      </c>
      <c r="F44" s="78"/>
      <c r="G44" s="50">
        <v>150000</v>
      </c>
      <c r="H44" s="108"/>
      <c r="I44" s="76">
        <v>15000</v>
      </c>
      <c r="J44" s="123"/>
    </row>
    <row r="45" spans="1:10" ht="93">
      <c r="A45" s="94" t="s">
        <v>120</v>
      </c>
      <c r="B45" s="94" t="s">
        <v>121</v>
      </c>
      <c r="C45" s="94" t="s">
        <v>119</v>
      </c>
      <c r="D45" s="95" t="s">
        <v>122</v>
      </c>
      <c r="E45" s="74" t="s">
        <v>194</v>
      </c>
      <c r="F45" s="78"/>
      <c r="G45" s="50">
        <v>250000</v>
      </c>
      <c r="H45" s="108"/>
      <c r="I45" s="76">
        <v>25000</v>
      </c>
      <c r="J45" s="123"/>
    </row>
    <row r="46" spans="1:10" ht="78">
      <c r="A46" s="94" t="s">
        <v>120</v>
      </c>
      <c r="B46" s="94" t="s">
        <v>121</v>
      </c>
      <c r="C46" s="94" t="s">
        <v>119</v>
      </c>
      <c r="D46" s="95" t="s">
        <v>122</v>
      </c>
      <c r="E46" s="74" t="s">
        <v>123</v>
      </c>
      <c r="F46" s="78" t="s">
        <v>64</v>
      </c>
      <c r="G46" s="50">
        <v>1518404</v>
      </c>
      <c r="H46" s="108">
        <v>73</v>
      </c>
      <c r="I46" s="76">
        <v>300000</v>
      </c>
      <c r="J46" s="123">
        <v>92</v>
      </c>
    </row>
    <row r="47" spans="1:10" ht="62.25">
      <c r="A47" s="13" t="s">
        <v>197</v>
      </c>
      <c r="B47" s="13" t="s">
        <v>198</v>
      </c>
      <c r="C47" s="13" t="s">
        <v>19</v>
      </c>
      <c r="D47" s="96" t="s">
        <v>199</v>
      </c>
      <c r="E47" s="74"/>
      <c r="F47" s="78"/>
      <c r="G47" s="50"/>
      <c r="H47" s="108"/>
      <c r="I47" s="97">
        <v>40031693</v>
      </c>
      <c r="J47" s="123"/>
    </row>
    <row r="48" spans="1:10" ht="36" customHeight="1">
      <c r="A48" s="7" t="s">
        <v>8</v>
      </c>
      <c r="B48" s="14"/>
      <c r="C48" s="5"/>
      <c r="D48" s="5" t="s">
        <v>9</v>
      </c>
      <c r="E48" s="7" t="s">
        <v>20</v>
      </c>
      <c r="F48" s="51"/>
      <c r="G48" s="102"/>
      <c r="H48" s="109"/>
      <c r="I48" s="80">
        <f>I49</f>
        <v>51929471.59</v>
      </c>
      <c r="J48" s="124"/>
    </row>
    <row r="49" spans="1:10" ht="33" customHeight="1">
      <c r="A49" s="7" t="s">
        <v>10</v>
      </c>
      <c r="B49" s="14"/>
      <c r="C49" s="5"/>
      <c r="D49" s="5" t="s">
        <v>9</v>
      </c>
      <c r="E49" s="7"/>
      <c r="F49" s="51"/>
      <c r="G49" s="102"/>
      <c r="H49" s="109"/>
      <c r="I49" s="80">
        <f>I50+I51+I53++I56+I57+I59+I54</f>
        <v>51929471.59</v>
      </c>
      <c r="J49" s="124"/>
    </row>
    <row r="50" spans="1:10" ht="30.75">
      <c r="A50" s="19" t="s">
        <v>21</v>
      </c>
      <c r="B50" s="20">
        <v>2010</v>
      </c>
      <c r="C50" s="20" t="s">
        <v>22</v>
      </c>
      <c r="D50" s="21" t="s">
        <v>23</v>
      </c>
      <c r="E50" s="8"/>
      <c r="F50" s="52"/>
      <c r="G50" s="103"/>
      <c r="H50" s="110"/>
      <c r="I50" s="49">
        <v>600000</v>
      </c>
      <c r="J50" s="106"/>
    </row>
    <row r="51" spans="1:10" ht="30.75">
      <c r="A51" s="19" t="s">
        <v>11</v>
      </c>
      <c r="B51" s="20">
        <v>2020</v>
      </c>
      <c r="C51" s="20" t="s">
        <v>5</v>
      </c>
      <c r="D51" s="21" t="s">
        <v>12</v>
      </c>
      <c r="E51" s="8"/>
      <c r="F51" s="52"/>
      <c r="G51" s="103"/>
      <c r="H51" s="110"/>
      <c r="I51" s="49">
        <f>300000+300000+I52</f>
        <v>850000</v>
      </c>
      <c r="J51" s="106"/>
    </row>
    <row r="52" spans="1:10" ht="30.75">
      <c r="A52" s="91" t="s">
        <v>240</v>
      </c>
      <c r="B52" s="92"/>
      <c r="C52" s="92"/>
      <c r="D52" s="140"/>
      <c r="E52" s="42" t="s">
        <v>239</v>
      </c>
      <c r="F52" s="101"/>
      <c r="G52" s="104"/>
      <c r="H52" s="111"/>
      <c r="I52" s="76">
        <v>250000</v>
      </c>
      <c r="J52" s="123"/>
    </row>
    <row r="53" spans="1:10" ht="30.75">
      <c r="A53" s="19" t="s">
        <v>248</v>
      </c>
      <c r="B53" s="20">
        <v>2030</v>
      </c>
      <c r="C53" s="20" t="s">
        <v>249</v>
      </c>
      <c r="D53" s="21" t="s">
        <v>250</v>
      </c>
      <c r="E53" s="100"/>
      <c r="F53" s="52"/>
      <c r="G53" s="103"/>
      <c r="H53" s="110"/>
      <c r="I53" s="49">
        <v>-187500</v>
      </c>
      <c r="J53" s="106"/>
    </row>
    <row r="54" spans="1:10" ht="30.75">
      <c r="A54" s="19" t="s">
        <v>135</v>
      </c>
      <c r="B54" s="23">
        <v>2152</v>
      </c>
      <c r="C54" s="20" t="s">
        <v>37</v>
      </c>
      <c r="D54" s="21" t="s">
        <v>136</v>
      </c>
      <c r="E54" s="100"/>
      <c r="F54" s="52"/>
      <c r="G54" s="103"/>
      <c r="H54" s="110"/>
      <c r="I54" s="49">
        <f>16034725+I55</f>
        <v>18458070.69</v>
      </c>
      <c r="J54" s="106"/>
    </row>
    <row r="55" spans="1:10" ht="129.75" customHeight="1">
      <c r="A55" s="91" t="s">
        <v>240</v>
      </c>
      <c r="B55" s="143"/>
      <c r="C55" s="92"/>
      <c r="D55" s="140"/>
      <c r="E55" s="139" t="s">
        <v>77</v>
      </c>
      <c r="F55" s="101"/>
      <c r="G55" s="104"/>
      <c r="H55" s="111"/>
      <c r="I55" s="76">
        <v>2423345.69</v>
      </c>
      <c r="J55" s="123"/>
    </row>
    <row r="56" spans="1:10" ht="21.75" customHeight="1">
      <c r="A56" s="19" t="s">
        <v>137</v>
      </c>
      <c r="B56" s="23" t="s">
        <v>138</v>
      </c>
      <c r="C56" s="23" t="s">
        <v>139</v>
      </c>
      <c r="D56" s="21" t="s">
        <v>140</v>
      </c>
      <c r="E56" s="8"/>
      <c r="F56" s="52"/>
      <c r="G56" s="103"/>
      <c r="H56" s="110"/>
      <c r="I56" s="49">
        <v>20000</v>
      </c>
      <c r="J56" s="106"/>
    </row>
    <row r="57" spans="1:10" ht="78">
      <c r="A57" s="13" t="s">
        <v>111</v>
      </c>
      <c r="B57" s="13" t="s">
        <v>112</v>
      </c>
      <c r="C57" s="13" t="s">
        <v>2</v>
      </c>
      <c r="D57" s="15" t="s">
        <v>113</v>
      </c>
      <c r="E57" s="22" t="s">
        <v>115</v>
      </c>
      <c r="F57" s="52"/>
      <c r="G57" s="103"/>
      <c r="H57" s="110"/>
      <c r="I57" s="49">
        <f>I58</f>
        <v>20900.9</v>
      </c>
      <c r="J57" s="106"/>
    </row>
    <row r="58" spans="1:10" ht="78">
      <c r="A58" s="19"/>
      <c r="B58" s="23"/>
      <c r="C58" s="23"/>
      <c r="D58" s="21"/>
      <c r="E58" s="42" t="s">
        <v>114</v>
      </c>
      <c r="F58" s="52"/>
      <c r="G58" s="103"/>
      <c r="H58" s="110"/>
      <c r="I58" s="50">
        <v>20900.9</v>
      </c>
      <c r="J58" s="106"/>
    </row>
    <row r="59" spans="1:10" ht="62.25">
      <c r="A59" s="19" t="s">
        <v>141</v>
      </c>
      <c r="B59" s="19" t="s">
        <v>52</v>
      </c>
      <c r="C59" s="13" t="s">
        <v>2</v>
      </c>
      <c r="D59" s="36" t="s">
        <v>53</v>
      </c>
      <c r="E59" s="42"/>
      <c r="F59" s="52"/>
      <c r="G59" s="103"/>
      <c r="H59" s="110"/>
      <c r="I59" s="81">
        <f>I60+I61</f>
        <v>32168000</v>
      </c>
      <c r="J59" s="125"/>
    </row>
    <row r="60" spans="1:10" ht="93">
      <c r="A60" s="19"/>
      <c r="B60" s="19"/>
      <c r="C60" s="13"/>
      <c r="D60" s="36"/>
      <c r="E60" s="74" t="s">
        <v>60</v>
      </c>
      <c r="F60" s="101"/>
      <c r="G60" s="104"/>
      <c r="H60" s="111"/>
      <c r="I60" s="50">
        <v>31992000</v>
      </c>
      <c r="J60" s="126"/>
    </row>
    <row r="61" spans="1:10" ht="30.75">
      <c r="A61" s="19"/>
      <c r="B61" s="19"/>
      <c r="C61" s="13"/>
      <c r="D61" s="36"/>
      <c r="E61" s="42" t="s">
        <v>239</v>
      </c>
      <c r="F61" s="101"/>
      <c r="G61" s="104"/>
      <c r="H61" s="111"/>
      <c r="I61" s="50">
        <f>248000-72000</f>
        <v>176000</v>
      </c>
      <c r="J61" s="126"/>
    </row>
    <row r="62" spans="1:10" ht="46.5">
      <c r="A62" s="7" t="s">
        <v>34</v>
      </c>
      <c r="B62" s="5"/>
      <c r="C62" s="5"/>
      <c r="D62" s="5" t="s">
        <v>35</v>
      </c>
      <c r="E62" s="7" t="s">
        <v>20</v>
      </c>
      <c r="F62" s="51"/>
      <c r="G62" s="102"/>
      <c r="H62" s="109"/>
      <c r="I62" s="80">
        <f>I63</f>
        <v>130000</v>
      </c>
      <c r="J62" s="124"/>
    </row>
    <row r="63" spans="1:10" ht="46.5">
      <c r="A63" s="7" t="s">
        <v>36</v>
      </c>
      <c r="B63" s="5"/>
      <c r="C63" s="5"/>
      <c r="D63" s="5" t="s">
        <v>35</v>
      </c>
      <c r="E63" s="7"/>
      <c r="F63" s="51"/>
      <c r="G63" s="102"/>
      <c r="H63" s="109"/>
      <c r="I63" s="80">
        <f>SUM(I64:I65)</f>
        <v>130000</v>
      </c>
      <c r="J63" s="124"/>
    </row>
    <row r="64" spans="1:10" ht="108.75">
      <c r="A64" s="19" t="s">
        <v>28</v>
      </c>
      <c r="B64" s="32">
        <v>3102</v>
      </c>
      <c r="C64" s="33" t="s">
        <v>29</v>
      </c>
      <c r="D64" s="34" t="s">
        <v>30</v>
      </c>
      <c r="E64" s="8"/>
      <c r="F64" s="52"/>
      <c r="G64" s="103"/>
      <c r="H64" s="110"/>
      <c r="I64" s="88">
        <f>50000</f>
        <v>50000</v>
      </c>
      <c r="J64" s="106"/>
    </row>
    <row r="65" spans="1:10" ht="46.5">
      <c r="A65" s="19" t="s">
        <v>32</v>
      </c>
      <c r="B65" s="32">
        <v>3121</v>
      </c>
      <c r="C65" s="33" t="s">
        <v>31</v>
      </c>
      <c r="D65" s="35" t="s">
        <v>33</v>
      </c>
      <c r="E65" s="8"/>
      <c r="F65" s="52"/>
      <c r="G65" s="103"/>
      <c r="H65" s="110"/>
      <c r="I65" s="81">
        <v>80000</v>
      </c>
      <c r="J65" s="106"/>
    </row>
    <row r="66" spans="1:10" ht="46.5">
      <c r="A66" s="7" t="s">
        <v>13</v>
      </c>
      <c r="B66" s="5"/>
      <c r="C66" s="5"/>
      <c r="D66" s="5" t="s">
        <v>14</v>
      </c>
      <c r="E66" s="7" t="s">
        <v>20</v>
      </c>
      <c r="F66" s="51"/>
      <c r="G66" s="102"/>
      <c r="H66" s="109"/>
      <c r="I66" s="80">
        <f>I67</f>
        <v>400000</v>
      </c>
      <c r="J66" s="124"/>
    </row>
    <row r="67" spans="1:10" ht="46.5">
      <c r="A67" s="7" t="s">
        <v>15</v>
      </c>
      <c r="B67" s="5"/>
      <c r="C67" s="5"/>
      <c r="D67" s="5" t="s">
        <v>14</v>
      </c>
      <c r="E67" s="7"/>
      <c r="F67" s="51"/>
      <c r="G67" s="102"/>
      <c r="H67" s="109"/>
      <c r="I67" s="80">
        <f>I68</f>
        <v>400000</v>
      </c>
      <c r="J67" s="124"/>
    </row>
    <row r="68" spans="1:10" ht="93">
      <c r="A68" s="13" t="s">
        <v>160</v>
      </c>
      <c r="B68" s="13" t="s">
        <v>161</v>
      </c>
      <c r="C68" s="19" t="s">
        <v>119</v>
      </c>
      <c r="D68" s="86" t="s">
        <v>162</v>
      </c>
      <c r="E68" s="15" t="s">
        <v>163</v>
      </c>
      <c r="F68" s="54" t="s">
        <v>154</v>
      </c>
      <c r="G68" s="68">
        <v>2488379</v>
      </c>
      <c r="H68" s="112">
        <v>43</v>
      </c>
      <c r="I68" s="81">
        <v>400000</v>
      </c>
      <c r="J68" s="55">
        <v>59</v>
      </c>
    </row>
    <row r="69" spans="1:10" ht="46.5">
      <c r="A69" s="7" t="s">
        <v>6</v>
      </c>
      <c r="B69" s="5"/>
      <c r="C69" s="5"/>
      <c r="D69" s="5" t="s">
        <v>116</v>
      </c>
      <c r="E69" s="7" t="s">
        <v>20</v>
      </c>
      <c r="F69" s="51"/>
      <c r="G69" s="102"/>
      <c r="H69" s="109"/>
      <c r="I69" s="80">
        <f>I70</f>
        <v>93693435</v>
      </c>
      <c r="J69" s="124"/>
    </row>
    <row r="70" spans="1:10" ht="46.5">
      <c r="A70" s="7" t="s">
        <v>7</v>
      </c>
      <c r="B70" s="5"/>
      <c r="C70" s="5"/>
      <c r="D70" s="5" t="s">
        <v>116</v>
      </c>
      <c r="E70" s="7"/>
      <c r="F70" s="51"/>
      <c r="G70" s="102"/>
      <c r="H70" s="109"/>
      <c r="I70" s="80">
        <f>I71+I163+I166+I165</f>
        <v>93693435</v>
      </c>
      <c r="J70" s="124"/>
    </row>
    <row r="71" spans="1:10" ht="20.25" customHeight="1">
      <c r="A71" s="26" t="s">
        <v>24</v>
      </c>
      <c r="B71" s="26" t="s">
        <v>25</v>
      </c>
      <c r="C71" s="26"/>
      <c r="D71" s="27" t="s">
        <v>26</v>
      </c>
      <c r="E71" s="22"/>
      <c r="F71" s="53"/>
      <c r="G71" s="105"/>
      <c r="H71" s="113"/>
      <c r="I71" s="82">
        <f>I72+I82+I84+I101+I105+I144+I154</f>
        <v>42666671</v>
      </c>
      <c r="J71" s="127"/>
    </row>
    <row r="72" spans="1:10" ht="20.25" customHeight="1">
      <c r="A72" s="19">
        <v>1517321</v>
      </c>
      <c r="B72" s="19">
        <v>7321</v>
      </c>
      <c r="C72" s="13" t="s">
        <v>119</v>
      </c>
      <c r="D72" s="36" t="s">
        <v>122</v>
      </c>
      <c r="E72" s="22"/>
      <c r="F72" s="54"/>
      <c r="G72" s="68"/>
      <c r="H72" s="112"/>
      <c r="I72" s="81">
        <f>I73+I74</f>
        <v>-39680000</v>
      </c>
      <c r="J72" s="128"/>
    </row>
    <row r="73" spans="1:10" ht="20.25" customHeight="1">
      <c r="A73" s="19">
        <v>1517321</v>
      </c>
      <c r="B73" s="19">
        <v>7321</v>
      </c>
      <c r="C73" s="13" t="s">
        <v>119</v>
      </c>
      <c r="D73" s="36" t="s">
        <v>122</v>
      </c>
      <c r="E73" s="22" t="s">
        <v>4</v>
      </c>
      <c r="F73" s="54"/>
      <c r="G73" s="68"/>
      <c r="H73" s="112"/>
      <c r="I73" s="81">
        <v>-60000000</v>
      </c>
      <c r="J73" s="128"/>
    </row>
    <row r="74" spans="1:10" ht="20.25" customHeight="1">
      <c r="A74" s="19">
        <v>1517321</v>
      </c>
      <c r="B74" s="19">
        <v>7321</v>
      </c>
      <c r="C74" s="13" t="s">
        <v>119</v>
      </c>
      <c r="D74" s="36" t="s">
        <v>122</v>
      </c>
      <c r="E74" s="22"/>
      <c r="F74" s="54"/>
      <c r="G74" s="68"/>
      <c r="H74" s="112"/>
      <c r="I74" s="81">
        <f>SUM(I75:I81)</f>
        <v>20320000</v>
      </c>
      <c r="J74" s="128"/>
    </row>
    <row r="75" spans="1:10" ht="46.5">
      <c r="A75" s="94"/>
      <c r="B75" s="94"/>
      <c r="C75" s="94"/>
      <c r="D75" s="95"/>
      <c r="E75" s="74" t="s">
        <v>242</v>
      </c>
      <c r="F75" s="78" t="s">
        <v>85</v>
      </c>
      <c r="G75" s="93">
        <v>17731195</v>
      </c>
      <c r="H75" s="108">
        <v>0</v>
      </c>
      <c r="I75" s="76">
        <v>5400000</v>
      </c>
      <c r="J75" s="123">
        <v>100</v>
      </c>
    </row>
    <row r="76" spans="1:10" ht="62.25">
      <c r="A76" s="94"/>
      <c r="B76" s="94"/>
      <c r="C76" s="94"/>
      <c r="D76" s="95"/>
      <c r="E76" s="74" t="s">
        <v>243</v>
      </c>
      <c r="F76" s="78" t="s">
        <v>154</v>
      </c>
      <c r="G76" s="93">
        <v>17789184</v>
      </c>
      <c r="H76" s="108">
        <v>5</v>
      </c>
      <c r="I76" s="76">
        <v>6620000</v>
      </c>
      <c r="J76" s="123">
        <v>100</v>
      </c>
    </row>
    <row r="77" spans="1:10" ht="93">
      <c r="A77" s="94"/>
      <c r="B77" s="94"/>
      <c r="C77" s="94"/>
      <c r="D77" s="95"/>
      <c r="E77" s="74" t="s">
        <v>200</v>
      </c>
      <c r="F77" s="78">
        <v>2020</v>
      </c>
      <c r="G77" s="93">
        <v>200000</v>
      </c>
      <c r="H77" s="108">
        <v>0</v>
      </c>
      <c r="I77" s="76">
        <v>200000</v>
      </c>
      <c r="J77" s="123">
        <v>100</v>
      </c>
    </row>
    <row r="78" spans="1:10" ht="46.5">
      <c r="A78" s="94"/>
      <c r="B78" s="94"/>
      <c r="C78" s="94"/>
      <c r="D78" s="95"/>
      <c r="E78" s="74" t="s">
        <v>201</v>
      </c>
      <c r="F78" s="78" t="s">
        <v>202</v>
      </c>
      <c r="G78" s="93">
        <v>68995840</v>
      </c>
      <c r="H78" s="108">
        <v>70</v>
      </c>
      <c r="I78" s="76">
        <v>5700000</v>
      </c>
      <c r="J78" s="123">
        <v>100</v>
      </c>
    </row>
    <row r="79" spans="1:10" ht="46.5">
      <c r="A79" s="94"/>
      <c r="B79" s="94"/>
      <c r="C79" s="94"/>
      <c r="D79" s="95"/>
      <c r="E79" s="74" t="s">
        <v>203</v>
      </c>
      <c r="F79" s="78" t="s">
        <v>85</v>
      </c>
      <c r="G79" s="93">
        <v>53723262</v>
      </c>
      <c r="H79" s="108">
        <v>36</v>
      </c>
      <c r="I79" s="76">
        <v>2000000</v>
      </c>
      <c r="J79" s="123">
        <v>100</v>
      </c>
    </row>
    <row r="80" spans="1:10" ht="78">
      <c r="A80" s="94"/>
      <c r="B80" s="94"/>
      <c r="C80" s="94"/>
      <c r="D80" s="95"/>
      <c r="E80" s="74" t="s">
        <v>204</v>
      </c>
      <c r="F80" s="78">
        <v>2020</v>
      </c>
      <c r="G80" s="93">
        <v>200000</v>
      </c>
      <c r="H80" s="108">
        <v>0</v>
      </c>
      <c r="I80" s="76">
        <v>200000</v>
      </c>
      <c r="J80" s="123">
        <v>100</v>
      </c>
    </row>
    <row r="81" spans="1:10" ht="78">
      <c r="A81" s="94"/>
      <c r="B81" s="94"/>
      <c r="C81" s="94"/>
      <c r="D81" s="95"/>
      <c r="E81" s="74" t="s">
        <v>205</v>
      </c>
      <c r="F81" s="78">
        <v>2020</v>
      </c>
      <c r="G81" s="93">
        <v>200000</v>
      </c>
      <c r="H81" s="108">
        <v>0</v>
      </c>
      <c r="I81" s="76">
        <v>200000</v>
      </c>
      <c r="J81" s="123">
        <v>100</v>
      </c>
    </row>
    <row r="82" spans="1:10" ht="20.25" customHeight="1">
      <c r="A82" s="19">
        <v>1517322</v>
      </c>
      <c r="B82" s="19">
        <v>7322</v>
      </c>
      <c r="C82" s="13" t="s">
        <v>119</v>
      </c>
      <c r="D82" s="36" t="s">
        <v>206</v>
      </c>
      <c r="E82" s="22"/>
      <c r="F82" s="54"/>
      <c r="G82" s="89"/>
      <c r="H82" s="112"/>
      <c r="I82" s="81">
        <v>400000</v>
      </c>
      <c r="J82" s="128"/>
    </row>
    <row r="83" spans="1:10" ht="62.25">
      <c r="A83" s="94"/>
      <c r="B83" s="94"/>
      <c r="C83" s="94"/>
      <c r="D83" s="95"/>
      <c r="E83" s="74" t="s">
        <v>207</v>
      </c>
      <c r="F83" s="78">
        <v>2020</v>
      </c>
      <c r="G83" s="93">
        <v>400000</v>
      </c>
      <c r="H83" s="108">
        <v>0</v>
      </c>
      <c r="I83" s="76">
        <v>400000</v>
      </c>
      <c r="J83" s="123">
        <v>100</v>
      </c>
    </row>
    <row r="84" spans="1:10" ht="46.5">
      <c r="A84" s="19">
        <v>1517361</v>
      </c>
      <c r="B84" s="19">
        <v>7361</v>
      </c>
      <c r="C84" s="13" t="s">
        <v>2</v>
      </c>
      <c r="D84" s="36" t="s">
        <v>61</v>
      </c>
      <c r="E84" s="22"/>
      <c r="F84" s="54"/>
      <c r="G84" s="89"/>
      <c r="H84" s="112"/>
      <c r="I84" s="81">
        <f>I88+I91+I92+I96+I97+I98+I85+I86+I87+I90+I93+I94+I95+I99+I100</f>
        <v>39699733</v>
      </c>
      <c r="J84" s="128"/>
    </row>
    <row r="85" spans="1:10" ht="140.25">
      <c r="A85" s="94"/>
      <c r="B85" s="94"/>
      <c r="C85" s="94"/>
      <c r="D85" s="95"/>
      <c r="E85" s="74" t="s">
        <v>208</v>
      </c>
      <c r="F85" s="78">
        <v>2020</v>
      </c>
      <c r="G85" s="93">
        <v>1000000</v>
      </c>
      <c r="H85" s="108">
        <v>0</v>
      </c>
      <c r="I85" s="76">
        <v>1000000</v>
      </c>
      <c r="J85" s="123">
        <v>100</v>
      </c>
    </row>
    <row r="86" spans="1:10" ht="66" customHeight="1">
      <c r="A86" s="94"/>
      <c r="B86" s="94"/>
      <c r="C86" s="94"/>
      <c r="D86" s="95"/>
      <c r="E86" s="74" t="s">
        <v>209</v>
      </c>
      <c r="F86" s="78" t="s">
        <v>85</v>
      </c>
      <c r="G86" s="93">
        <v>18484560</v>
      </c>
      <c r="H86" s="108">
        <v>80</v>
      </c>
      <c r="I86" s="76">
        <v>447000</v>
      </c>
      <c r="J86" s="123">
        <v>100</v>
      </c>
    </row>
    <row r="87" spans="1:10" ht="93">
      <c r="A87" s="94"/>
      <c r="B87" s="94"/>
      <c r="C87" s="94"/>
      <c r="D87" s="95"/>
      <c r="E87" s="74" t="s">
        <v>210</v>
      </c>
      <c r="F87" s="78">
        <v>2020</v>
      </c>
      <c r="G87" s="93">
        <v>150000</v>
      </c>
      <c r="H87" s="108">
        <v>0</v>
      </c>
      <c r="I87" s="76">
        <v>150000</v>
      </c>
      <c r="J87" s="123">
        <v>100</v>
      </c>
    </row>
    <row r="88" spans="1:10" ht="46.5">
      <c r="A88" s="30"/>
      <c r="B88" s="30"/>
      <c r="C88" s="37"/>
      <c r="D88" s="38"/>
      <c r="E88" s="15" t="s">
        <v>62</v>
      </c>
      <c r="F88" s="54"/>
      <c r="G88" s="89"/>
      <c r="H88" s="112"/>
      <c r="I88" s="81">
        <f>I89</f>
        <v>3597389</v>
      </c>
      <c r="J88" s="128"/>
    </row>
    <row r="89" spans="1:10" ht="124.5">
      <c r="A89" s="8"/>
      <c r="B89" s="8"/>
      <c r="C89" s="9"/>
      <c r="D89" s="10"/>
      <c r="E89" s="42" t="s">
        <v>63</v>
      </c>
      <c r="F89" s="56" t="s">
        <v>64</v>
      </c>
      <c r="G89" s="57">
        <v>310136274</v>
      </c>
      <c r="H89" s="114">
        <v>62</v>
      </c>
      <c r="I89" s="59">
        <v>3597389</v>
      </c>
      <c r="J89" s="66">
        <v>82</v>
      </c>
    </row>
    <row r="90" spans="1:10" ht="47.25" customHeight="1">
      <c r="A90" s="94"/>
      <c r="B90" s="94"/>
      <c r="C90" s="94"/>
      <c r="D90" s="95" t="s">
        <v>260</v>
      </c>
      <c r="E90" s="74" t="s">
        <v>258</v>
      </c>
      <c r="F90" s="78" t="s">
        <v>217</v>
      </c>
      <c r="G90" s="93">
        <v>132117284</v>
      </c>
      <c r="H90" s="108">
        <v>3</v>
      </c>
      <c r="I90" s="76">
        <v>8500000</v>
      </c>
      <c r="J90" s="123">
        <v>66</v>
      </c>
    </row>
    <row r="91" spans="1:10" ht="46.5">
      <c r="A91" s="8"/>
      <c r="B91" s="40"/>
      <c r="C91" s="41"/>
      <c r="D91" s="42" t="s">
        <v>261</v>
      </c>
      <c r="E91" s="42" t="s">
        <v>262</v>
      </c>
      <c r="F91" s="60" t="s">
        <v>64</v>
      </c>
      <c r="G91" s="58">
        <v>78557862</v>
      </c>
      <c r="H91" s="114">
        <f>9536632*100/78557862</f>
        <v>12.13962773070377</v>
      </c>
      <c r="I91" s="59">
        <v>1200000</v>
      </c>
      <c r="J91" s="66">
        <f>(9536632+1200000)*100/G91</f>
        <v>13.66716421075716</v>
      </c>
    </row>
    <row r="92" spans="1:10" ht="56.25" customHeight="1">
      <c r="A92" s="8"/>
      <c r="B92" s="40"/>
      <c r="C92" s="41"/>
      <c r="D92" s="42" t="s">
        <v>261</v>
      </c>
      <c r="E92" s="42" t="s">
        <v>238</v>
      </c>
      <c r="F92" s="60" t="s">
        <v>59</v>
      </c>
      <c r="G92" s="58">
        <v>18879638</v>
      </c>
      <c r="H92" s="114">
        <f>821006.14*100/G92</f>
        <v>4.348632849845956</v>
      </c>
      <c r="I92" s="59">
        <f>1000000+1000000</f>
        <v>2000000</v>
      </c>
      <c r="J92" s="66">
        <v>100</v>
      </c>
    </row>
    <row r="93" spans="1:10" ht="46.5">
      <c r="A93" s="94"/>
      <c r="B93" s="94"/>
      <c r="C93" s="94"/>
      <c r="D93" s="95" t="s">
        <v>212</v>
      </c>
      <c r="E93" s="74" t="s">
        <v>213</v>
      </c>
      <c r="F93" s="78" t="s">
        <v>154</v>
      </c>
      <c r="G93" s="93">
        <v>33433586</v>
      </c>
      <c r="H93" s="108">
        <f>26396705*100/33433586</f>
        <v>78.95265856315862</v>
      </c>
      <c r="I93" s="76">
        <v>3436881</v>
      </c>
      <c r="J93" s="123">
        <v>100</v>
      </c>
    </row>
    <row r="94" spans="1:10" ht="62.25">
      <c r="A94" s="94"/>
      <c r="B94" s="94"/>
      <c r="C94" s="94"/>
      <c r="D94" s="95" t="s">
        <v>212</v>
      </c>
      <c r="E94" s="74" t="s">
        <v>214</v>
      </c>
      <c r="F94" s="78" t="s">
        <v>66</v>
      </c>
      <c r="G94" s="93">
        <v>68623417</v>
      </c>
      <c r="H94" s="108">
        <f>36284954*100/68623417</f>
        <v>52.87546960828255</v>
      </c>
      <c r="I94" s="76">
        <v>3238463</v>
      </c>
      <c r="J94" s="123">
        <v>100</v>
      </c>
    </row>
    <row r="95" spans="1:10" ht="62.25">
      <c r="A95" s="94"/>
      <c r="B95" s="94"/>
      <c r="C95" s="94"/>
      <c r="D95" s="95" t="s">
        <v>215</v>
      </c>
      <c r="E95" s="74" t="s">
        <v>216</v>
      </c>
      <c r="F95" s="78" t="s">
        <v>154</v>
      </c>
      <c r="G95" s="93">
        <v>38544317</v>
      </c>
      <c r="H95" s="108">
        <v>51</v>
      </c>
      <c r="I95" s="76">
        <v>80000</v>
      </c>
      <c r="J95" s="123">
        <v>100</v>
      </c>
    </row>
    <row r="96" spans="1:10" ht="37.5" customHeight="1">
      <c r="A96" s="94"/>
      <c r="B96" s="94"/>
      <c r="C96" s="94"/>
      <c r="D96" s="95" t="s">
        <v>65</v>
      </c>
      <c r="E96" s="74" t="s">
        <v>158</v>
      </c>
      <c r="F96" s="78" t="s">
        <v>66</v>
      </c>
      <c r="G96" s="93">
        <v>75846034</v>
      </c>
      <c r="H96" s="108">
        <f>59387971.2*100/G96</f>
        <v>78.30069427229378</v>
      </c>
      <c r="I96" s="76">
        <f>1000000+600000</f>
        <v>1600000</v>
      </c>
      <c r="J96" s="123">
        <v>100</v>
      </c>
    </row>
    <row r="97" spans="1:10" ht="62.25">
      <c r="A97" s="94"/>
      <c r="B97" s="94"/>
      <c r="C97" s="94"/>
      <c r="D97" s="95" t="s">
        <v>65</v>
      </c>
      <c r="E97" s="74" t="s">
        <v>67</v>
      </c>
      <c r="F97" s="78" t="s">
        <v>68</v>
      </c>
      <c r="G97" s="93">
        <v>119373945</v>
      </c>
      <c r="H97" s="108">
        <f>14432585*100/G97</f>
        <v>12.090230409994408</v>
      </c>
      <c r="I97" s="76">
        <f>500000+1200000</f>
        <v>1700000</v>
      </c>
      <c r="J97" s="123">
        <v>26</v>
      </c>
    </row>
    <row r="98" spans="1:10" ht="93">
      <c r="A98" s="8"/>
      <c r="B98" s="40"/>
      <c r="C98" s="41"/>
      <c r="D98" s="42" t="s">
        <v>155</v>
      </c>
      <c r="E98" s="42" t="s">
        <v>159</v>
      </c>
      <c r="F98" s="60" t="s">
        <v>59</v>
      </c>
      <c r="G98" s="58">
        <v>69998063</v>
      </c>
      <c r="H98" s="114">
        <v>5</v>
      </c>
      <c r="I98" s="145">
        <v>6000000</v>
      </c>
      <c r="J98" s="66">
        <v>100</v>
      </c>
    </row>
    <row r="99" spans="1:10" ht="82.5">
      <c r="A99" s="8"/>
      <c r="B99" s="40"/>
      <c r="C99" s="41"/>
      <c r="D99" s="42" t="s">
        <v>218</v>
      </c>
      <c r="E99" s="98" t="s">
        <v>219</v>
      </c>
      <c r="F99" s="99" t="s">
        <v>64</v>
      </c>
      <c r="G99" s="58">
        <v>310136274</v>
      </c>
      <c r="H99" s="115">
        <f>191290665*100/G99</f>
        <v>61.67955219581957</v>
      </c>
      <c r="I99" s="146">
        <v>1750000</v>
      </c>
      <c r="J99" s="142">
        <v>84</v>
      </c>
    </row>
    <row r="100" spans="1:10" ht="96">
      <c r="A100" s="8"/>
      <c r="B100" s="40"/>
      <c r="C100" s="41"/>
      <c r="D100" s="42" t="s">
        <v>220</v>
      </c>
      <c r="E100" s="98" t="s">
        <v>221</v>
      </c>
      <c r="F100" s="99" t="s">
        <v>64</v>
      </c>
      <c r="G100" s="58">
        <v>310136274</v>
      </c>
      <c r="H100" s="115">
        <v>62</v>
      </c>
      <c r="I100" s="146">
        <v>5000000</v>
      </c>
      <c r="J100" s="142">
        <v>84</v>
      </c>
    </row>
    <row r="101" spans="1:10" ht="78">
      <c r="A101" s="19">
        <v>1517363</v>
      </c>
      <c r="B101" s="19">
        <v>7363</v>
      </c>
      <c r="C101" s="13" t="s">
        <v>2</v>
      </c>
      <c r="D101" s="36" t="s">
        <v>75</v>
      </c>
      <c r="E101" s="22" t="s">
        <v>69</v>
      </c>
      <c r="F101" s="53"/>
      <c r="G101" s="46"/>
      <c r="H101" s="113"/>
      <c r="I101" s="147">
        <f>SUM(I102:I104)</f>
        <v>2353000</v>
      </c>
      <c r="J101" s="129"/>
    </row>
    <row r="102" spans="1:10" ht="69">
      <c r="A102" s="8"/>
      <c r="B102" s="8"/>
      <c r="C102" s="9"/>
      <c r="D102" s="10"/>
      <c r="E102" s="39" t="s">
        <v>70</v>
      </c>
      <c r="F102" s="61" t="s">
        <v>71</v>
      </c>
      <c r="G102" s="62">
        <v>3561839</v>
      </c>
      <c r="H102" s="116">
        <v>52</v>
      </c>
      <c r="I102" s="63">
        <v>783000</v>
      </c>
      <c r="J102" s="61">
        <v>74</v>
      </c>
    </row>
    <row r="103" spans="1:10" ht="69">
      <c r="A103" s="8"/>
      <c r="B103" s="8"/>
      <c r="C103" s="9"/>
      <c r="D103" s="10"/>
      <c r="E103" s="39" t="s">
        <v>72</v>
      </c>
      <c r="F103" s="64" t="s">
        <v>73</v>
      </c>
      <c r="G103" s="57">
        <v>10787568</v>
      </c>
      <c r="H103" s="117">
        <v>0</v>
      </c>
      <c r="I103" s="65">
        <v>1434000</v>
      </c>
      <c r="J103" s="64">
        <v>13</v>
      </c>
    </row>
    <row r="104" spans="1:10" ht="96">
      <c r="A104" s="8"/>
      <c r="B104" s="8"/>
      <c r="C104" s="9"/>
      <c r="D104" s="10"/>
      <c r="E104" s="39" t="s">
        <v>74</v>
      </c>
      <c r="F104" s="66" t="s">
        <v>64</v>
      </c>
      <c r="G104" s="58">
        <v>6091938</v>
      </c>
      <c r="H104" s="114">
        <v>0</v>
      </c>
      <c r="I104" s="59">
        <v>136000</v>
      </c>
      <c r="J104" s="66">
        <v>2</v>
      </c>
    </row>
    <row r="105" spans="1:10" ht="108.75">
      <c r="A105" s="19">
        <v>1517365</v>
      </c>
      <c r="B105" s="19">
        <v>7365</v>
      </c>
      <c r="C105" s="13" t="s">
        <v>2</v>
      </c>
      <c r="D105" s="36" t="s">
        <v>76</v>
      </c>
      <c r="E105" s="22"/>
      <c r="F105" s="67"/>
      <c r="G105" s="70"/>
      <c r="H105" s="114"/>
      <c r="I105" s="68">
        <f>SUM(I131:I143)+I106</f>
        <v>2473289</v>
      </c>
      <c r="J105" s="130"/>
    </row>
    <row r="106" spans="1:10" ht="124.5">
      <c r="A106" s="30"/>
      <c r="B106" s="43"/>
      <c r="C106" s="37"/>
      <c r="D106" s="44"/>
      <c r="E106" s="36" t="s">
        <v>77</v>
      </c>
      <c r="F106" s="67"/>
      <c r="G106" s="70"/>
      <c r="H106" s="114"/>
      <c r="I106" s="68">
        <f>SUM(I107:I130)</f>
        <v>1813657</v>
      </c>
      <c r="J106" s="130"/>
    </row>
    <row r="107" spans="1:10" ht="62.25">
      <c r="A107" s="30"/>
      <c r="B107" s="43"/>
      <c r="C107" s="37"/>
      <c r="D107" s="44"/>
      <c r="E107" s="42" t="s">
        <v>78</v>
      </c>
      <c r="F107" s="69" t="s">
        <v>59</v>
      </c>
      <c r="G107" s="70">
        <v>3812240</v>
      </c>
      <c r="H107" s="114">
        <f>1278977.34*100/G107</f>
        <v>33.54923457075106</v>
      </c>
      <c r="I107" s="59">
        <v>61781.61</v>
      </c>
      <c r="J107" s="66">
        <v>100</v>
      </c>
    </row>
    <row r="108" spans="1:10" ht="62.25">
      <c r="A108" s="30"/>
      <c r="B108" s="43"/>
      <c r="C108" s="37"/>
      <c r="D108" s="44"/>
      <c r="E108" s="42" t="s">
        <v>79</v>
      </c>
      <c r="F108" s="69" t="s">
        <v>59</v>
      </c>
      <c r="G108" s="70">
        <v>2076731</v>
      </c>
      <c r="H108" s="114">
        <f>589548.47*100/G108</f>
        <v>28.388292465418004</v>
      </c>
      <c r="I108" s="59">
        <v>27685.67</v>
      </c>
      <c r="J108" s="66">
        <v>100</v>
      </c>
    </row>
    <row r="109" spans="1:10" ht="62.25">
      <c r="A109" s="30"/>
      <c r="B109" s="43"/>
      <c r="C109" s="37"/>
      <c r="D109" s="44"/>
      <c r="E109" s="42" t="s">
        <v>80</v>
      </c>
      <c r="F109" s="69" t="s">
        <v>59</v>
      </c>
      <c r="G109" s="70">
        <v>1756618</v>
      </c>
      <c r="H109" s="114">
        <f>462432.6*100/G109</f>
        <v>26.325165744629736</v>
      </c>
      <c r="I109" s="59">
        <v>21427.64</v>
      </c>
      <c r="J109" s="66">
        <v>100</v>
      </c>
    </row>
    <row r="110" spans="1:10" ht="62.25">
      <c r="A110" s="30"/>
      <c r="B110" s="43"/>
      <c r="C110" s="37"/>
      <c r="D110" s="44"/>
      <c r="E110" s="42" t="s">
        <v>81</v>
      </c>
      <c r="F110" s="69" t="s">
        <v>59</v>
      </c>
      <c r="G110" s="70">
        <v>3694378</v>
      </c>
      <c r="H110" s="114">
        <f>1084534.44*100/G110</f>
        <v>29.35634740137582</v>
      </c>
      <c r="I110" s="59">
        <v>52054.87</v>
      </c>
      <c r="J110" s="66">
        <v>100</v>
      </c>
    </row>
    <row r="111" spans="1:10" ht="62.25">
      <c r="A111" s="30"/>
      <c r="B111" s="43"/>
      <c r="C111" s="37"/>
      <c r="D111" s="44"/>
      <c r="E111" s="42" t="s">
        <v>82</v>
      </c>
      <c r="F111" s="69" t="s">
        <v>59</v>
      </c>
      <c r="G111" s="70">
        <v>4443250</v>
      </c>
      <c r="H111" s="114">
        <f>1742977.95*100/G111</f>
        <v>39.22754627806223</v>
      </c>
      <c r="I111" s="59">
        <v>84684.5</v>
      </c>
      <c r="J111" s="66">
        <v>100</v>
      </c>
    </row>
    <row r="112" spans="1:10" ht="62.25">
      <c r="A112" s="30"/>
      <c r="B112" s="43"/>
      <c r="C112" s="37"/>
      <c r="D112" s="44"/>
      <c r="E112" s="42" t="s">
        <v>83</v>
      </c>
      <c r="F112" s="69" t="s">
        <v>59</v>
      </c>
      <c r="G112" s="70">
        <v>4238147</v>
      </c>
      <c r="H112" s="114">
        <f>1305165.15*100/G112</f>
        <v>30.795655506993974</v>
      </c>
      <c r="I112" s="59">
        <v>62951.81</v>
      </c>
      <c r="J112" s="66">
        <v>100</v>
      </c>
    </row>
    <row r="113" spans="1:10" ht="78">
      <c r="A113" s="30"/>
      <c r="B113" s="43"/>
      <c r="C113" s="37"/>
      <c r="D113" s="44"/>
      <c r="E113" s="42" t="s">
        <v>84</v>
      </c>
      <c r="F113" s="69" t="s">
        <v>85</v>
      </c>
      <c r="G113" s="70">
        <v>6542999</v>
      </c>
      <c r="H113" s="114">
        <f>120081.29*100/G113</f>
        <v>1.8352637681894801</v>
      </c>
      <c r="I113" s="59">
        <v>1019.36</v>
      </c>
      <c r="J113" s="66">
        <v>100</v>
      </c>
    </row>
    <row r="114" spans="1:10" ht="62.25">
      <c r="A114" s="30"/>
      <c r="B114" s="43"/>
      <c r="C114" s="37"/>
      <c r="D114" s="44"/>
      <c r="E114" s="42" t="s">
        <v>86</v>
      </c>
      <c r="F114" s="69" t="s">
        <v>85</v>
      </c>
      <c r="G114" s="70">
        <v>5359096</v>
      </c>
      <c r="H114" s="114">
        <f>956096.37*100/G114</f>
        <v>17.840627784984633</v>
      </c>
      <c r="I114" s="59">
        <v>43062.97</v>
      </c>
      <c r="J114" s="66">
        <v>100</v>
      </c>
    </row>
    <row r="115" spans="1:10" ht="62.25">
      <c r="A115" s="30"/>
      <c r="B115" s="43"/>
      <c r="C115" s="37"/>
      <c r="D115" s="44"/>
      <c r="E115" s="42" t="s">
        <v>87</v>
      </c>
      <c r="F115" s="69" t="s">
        <v>85</v>
      </c>
      <c r="G115" s="70">
        <v>5753700</v>
      </c>
      <c r="H115" s="114">
        <f>551016.9*100/G115</f>
        <v>9.576740184576881</v>
      </c>
      <c r="I115" s="59">
        <v>11984.84</v>
      </c>
      <c r="J115" s="66">
        <v>100</v>
      </c>
    </row>
    <row r="116" spans="1:10" ht="62.25">
      <c r="A116" s="30"/>
      <c r="B116" s="43"/>
      <c r="C116" s="37"/>
      <c r="D116" s="44"/>
      <c r="E116" s="42" t="s">
        <v>88</v>
      </c>
      <c r="F116" s="69" t="s">
        <v>85</v>
      </c>
      <c r="G116" s="70">
        <v>5688686</v>
      </c>
      <c r="H116" s="114">
        <f>462386.05*100/G116</f>
        <v>8.128169668707326</v>
      </c>
      <c r="I116" s="59">
        <v>19630.6</v>
      </c>
      <c r="J116" s="66">
        <v>100</v>
      </c>
    </row>
    <row r="117" spans="1:10" ht="74.25">
      <c r="A117" s="30"/>
      <c r="B117" s="43"/>
      <c r="C117" s="37"/>
      <c r="D117" s="44"/>
      <c r="E117" s="42" t="s">
        <v>89</v>
      </c>
      <c r="F117" s="69" t="s">
        <v>85</v>
      </c>
      <c r="G117" s="70">
        <v>8285324</v>
      </c>
      <c r="H117" s="114">
        <f>7045571.66*100/G117</f>
        <v>85.03676693874615</v>
      </c>
      <c r="I117" s="59">
        <v>337112.45</v>
      </c>
      <c r="J117" s="66">
        <v>100</v>
      </c>
    </row>
    <row r="118" spans="1:10" ht="46.5">
      <c r="A118" s="30"/>
      <c r="B118" s="43"/>
      <c r="C118" s="37"/>
      <c r="D118" s="44"/>
      <c r="E118" s="42" t="s">
        <v>90</v>
      </c>
      <c r="F118" s="69" t="s">
        <v>85</v>
      </c>
      <c r="G118" s="71">
        <v>8073563</v>
      </c>
      <c r="H118" s="116">
        <v>95</v>
      </c>
      <c r="I118" s="63">
        <v>419211.68</v>
      </c>
      <c r="J118" s="61">
        <v>100</v>
      </c>
    </row>
    <row r="119" spans="1:10" ht="108.75">
      <c r="A119" s="30"/>
      <c r="B119" s="43"/>
      <c r="C119" s="37"/>
      <c r="D119" s="44"/>
      <c r="E119" s="42" t="s">
        <v>91</v>
      </c>
      <c r="F119" s="69" t="s">
        <v>85</v>
      </c>
      <c r="G119" s="70">
        <v>9307925</v>
      </c>
      <c r="H119" s="114">
        <f>515319.6*100/G119</f>
        <v>5.536353161418899</v>
      </c>
      <c r="I119" s="59">
        <v>19388.58</v>
      </c>
      <c r="J119" s="66">
        <v>100</v>
      </c>
    </row>
    <row r="120" spans="1:10" ht="78">
      <c r="A120" s="30"/>
      <c r="B120" s="43"/>
      <c r="C120" s="37"/>
      <c r="D120" s="44"/>
      <c r="E120" s="42" t="s">
        <v>92</v>
      </c>
      <c r="F120" s="69" t="s">
        <v>85</v>
      </c>
      <c r="G120" s="70">
        <v>7348625</v>
      </c>
      <c r="H120" s="114">
        <f>3410977.1*100/G120</f>
        <v>46.41653506608379</v>
      </c>
      <c r="I120" s="59">
        <v>161339.8</v>
      </c>
      <c r="J120" s="66">
        <v>100</v>
      </c>
    </row>
    <row r="121" spans="1:10" ht="62.25">
      <c r="A121" s="30"/>
      <c r="B121" s="43"/>
      <c r="C121" s="37"/>
      <c r="D121" s="44"/>
      <c r="E121" s="42" t="s">
        <v>93</v>
      </c>
      <c r="F121" s="69" t="s">
        <v>85</v>
      </c>
      <c r="G121" s="70">
        <v>12291685</v>
      </c>
      <c r="H121" s="114">
        <f>4698049.49*100/G121</f>
        <v>38.22136257152701</v>
      </c>
      <c r="I121" s="59">
        <v>229625.48</v>
      </c>
      <c r="J121" s="66">
        <v>100</v>
      </c>
    </row>
    <row r="122" spans="1:10" ht="78">
      <c r="A122" s="30"/>
      <c r="B122" s="43"/>
      <c r="C122" s="37"/>
      <c r="D122" s="44"/>
      <c r="E122" s="42" t="s">
        <v>94</v>
      </c>
      <c r="F122" s="69" t="s">
        <v>59</v>
      </c>
      <c r="G122" s="70">
        <v>1922778</v>
      </c>
      <c r="H122" s="114">
        <f>278296.59*100/G122</f>
        <v>14.473672467648374</v>
      </c>
      <c r="I122" s="59">
        <v>12194.68</v>
      </c>
      <c r="J122" s="66">
        <v>100</v>
      </c>
    </row>
    <row r="123" spans="1:10" ht="78">
      <c r="A123" s="30"/>
      <c r="B123" s="43"/>
      <c r="C123" s="37"/>
      <c r="D123" s="44"/>
      <c r="E123" s="42" t="s">
        <v>95</v>
      </c>
      <c r="F123" s="69" t="s">
        <v>59</v>
      </c>
      <c r="G123" s="70">
        <v>1829875</v>
      </c>
      <c r="H123" s="114">
        <f>609546.39*100/G123</f>
        <v>33.310821230958396</v>
      </c>
      <c r="I123" s="59">
        <v>28790.91</v>
      </c>
      <c r="J123" s="66">
        <v>100</v>
      </c>
    </row>
    <row r="124" spans="1:10" ht="62.25">
      <c r="A124" s="30"/>
      <c r="B124" s="43"/>
      <c r="C124" s="37"/>
      <c r="D124" s="44"/>
      <c r="E124" s="42" t="s">
        <v>96</v>
      </c>
      <c r="F124" s="69" t="s">
        <v>59</v>
      </c>
      <c r="G124" s="70">
        <v>2009413</v>
      </c>
      <c r="H124" s="114">
        <f>913813.51*100/G124</f>
        <v>45.476639695274194</v>
      </c>
      <c r="I124" s="59">
        <v>43960.88</v>
      </c>
      <c r="J124" s="66">
        <v>100</v>
      </c>
    </row>
    <row r="125" spans="1:10" ht="78">
      <c r="A125" s="30"/>
      <c r="B125" s="43"/>
      <c r="C125" s="37"/>
      <c r="D125" s="44"/>
      <c r="E125" s="42" t="s">
        <v>97</v>
      </c>
      <c r="F125" s="69" t="s">
        <v>59</v>
      </c>
      <c r="G125" s="70">
        <v>1658873</v>
      </c>
      <c r="H125" s="114">
        <f>782033.97*100/G125</f>
        <v>47.14248589253065</v>
      </c>
      <c r="I125" s="59">
        <v>37803.79</v>
      </c>
      <c r="J125" s="66">
        <v>100</v>
      </c>
    </row>
    <row r="126" spans="1:10" ht="71.25" customHeight="1">
      <c r="A126" s="30"/>
      <c r="B126" s="43"/>
      <c r="C126" s="37"/>
      <c r="D126" s="44"/>
      <c r="E126" s="42" t="s">
        <v>98</v>
      </c>
      <c r="F126" s="72" t="s">
        <v>59</v>
      </c>
      <c r="G126" s="71">
        <v>2877251</v>
      </c>
      <c r="H126" s="114">
        <f>55406*100/G126</f>
        <v>1.9256575112842085</v>
      </c>
      <c r="I126" s="63">
        <v>6074.04</v>
      </c>
      <c r="J126" s="66">
        <v>100</v>
      </c>
    </row>
    <row r="127" spans="1:10" ht="65.25" customHeight="1">
      <c r="A127" s="30"/>
      <c r="B127" s="43"/>
      <c r="C127" s="37"/>
      <c r="D127" s="44"/>
      <c r="E127" s="42" t="s">
        <v>99</v>
      </c>
      <c r="F127" s="69" t="s">
        <v>59</v>
      </c>
      <c r="G127" s="70">
        <v>2535650</v>
      </c>
      <c r="H127" s="114">
        <f>806005.54*100/G127</f>
        <v>31.786939837911383</v>
      </c>
      <c r="I127" s="65">
        <v>37526.57</v>
      </c>
      <c r="J127" s="66">
        <v>100</v>
      </c>
    </row>
    <row r="128" spans="1:10" ht="66.75" customHeight="1">
      <c r="A128" s="30"/>
      <c r="B128" s="43"/>
      <c r="C128" s="37"/>
      <c r="D128" s="44"/>
      <c r="E128" s="42" t="s">
        <v>100</v>
      </c>
      <c r="F128" s="69" t="s">
        <v>59</v>
      </c>
      <c r="G128" s="70">
        <v>2252829</v>
      </c>
      <c r="H128" s="114">
        <f>792046.56*100/G128</f>
        <v>35.157864178772556</v>
      </c>
      <c r="I128" s="65">
        <v>36839.43</v>
      </c>
      <c r="J128" s="66">
        <v>100</v>
      </c>
    </row>
    <row r="129" spans="1:10" ht="78">
      <c r="A129" s="30"/>
      <c r="B129" s="43"/>
      <c r="C129" s="37"/>
      <c r="D129" s="44"/>
      <c r="E129" s="42" t="s">
        <v>101</v>
      </c>
      <c r="F129" s="69" t="s">
        <v>59</v>
      </c>
      <c r="G129" s="70">
        <v>5816842</v>
      </c>
      <c r="H129" s="114">
        <f>1124310.78*100/G129</f>
        <v>19.32854253218499</v>
      </c>
      <c r="I129" s="65">
        <v>50799.49</v>
      </c>
      <c r="J129" s="66">
        <v>100</v>
      </c>
    </row>
    <row r="130" spans="1:10" ht="70.5" customHeight="1">
      <c r="A130" s="30"/>
      <c r="B130" s="43"/>
      <c r="C130" s="37"/>
      <c r="D130" s="44"/>
      <c r="E130" s="42" t="s">
        <v>102</v>
      </c>
      <c r="F130" s="69" t="s">
        <v>59</v>
      </c>
      <c r="G130" s="70">
        <v>5345996</v>
      </c>
      <c r="H130" s="114">
        <f>190812.09*100/G130</f>
        <v>3.5692523900130118</v>
      </c>
      <c r="I130" s="65">
        <v>6705.35</v>
      </c>
      <c r="J130" s="66">
        <v>100</v>
      </c>
    </row>
    <row r="131" spans="1:10" ht="78">
      <c r="A131" s="30"/>
      <c r="B131" s="43"/>
      <c r="C131" s="37"/>
      <c r="D131" s="42" t="s">
        <v>212</v>
      </c>
      <c r="E131" s="42" t="s">
        <v>225</v>
      </c>
      <c r="F131" s="69" t="s">
        <v>222</v>
      </c>
      <c r="G131" s="70">
        <v>1922778</v>
      </c>
      <c r="H131" s="114">
        <f>278296.59*100/1922778</f>
        <v>14.473672467648374</v>
      </c>
      <c r="I131" s="65">
        <v>30000</v>
      </c>
      <c r="J131" s="66">
        <v>100</v>
      </c>
    </row>
    <row r="132" spans="1:10" ht="80.25" customHeight="1">
      <c r="A132" s="30"/>
      <c r="B132" s="43"/>
      <c r="C132" s="37"/>
      <c r="D132" s="42" t="s">
        <v>212</v>
      </c>
      <c r="E132" s="42" t="s">
        <v>223</v>
      </c>
      <c r="F132" s="69" t="s">
        <v>222</v>
      </c>
      <c r="G132" s="70">
        <v>1658873</v>
      </c>
      <c r="H132" s="114">
        <f>782033*100/1658873</f>
        <v>47.14242741909718</v>
      </c>
      <c r="I132" s="65">
        <v>45000</v>
      </c>
      <c r="J132" s="66">
        <v>100</v>
      </c>
    </row>
    <row r="133" spans="1:10" ht="70.5" customHeight="1">
      <c r="A133" s="30"/>
      <c r="B133" s="43"/>
      <c r="C133" s="37"/>
      <c r="D133" s="42" t="s">
        <v>212</v>
      </c>
      <c r="E133" s="42" t="s">
        <v>78</v>
      </c>
      <c r="F133" s="69" t="s">
        <v>222</v>
      </c>
      <c r="G133" s="70">
        <v>3812240</v>
      </c>
      <c r="H133" s="114">
        <f>1278977.34*100/G133</f>
        <v>33.54923457075106</v>
      </c>
      <c r="I133" s="65">
        <v>25000</v>
      </c>
      <c r="J133" s="66">
        <v>100</v>
      </c>
    </row>
    <row r="134" spans="1:10" ht="60.75" customHeight="1">
      <c r="A134" s="30"/>
      <c r="B134" s="43"/>
      <c r="C134" s="37"/>
      <c r="D134" s="42" t="s">
        <v>212</v>
      </c>
      <c r="E134" s="42" t="s">
        <v>81</v>
      </c>
      <c r="F134" s="69" t="s">
        <v>222</v>
      </c>
      <c r="G134" s="70">
        <v>3694378</v>
      </c>
      <c r="H134" s="114">
        <f>1084534.44*100/3694378</f>
        <v>29.35634740137582</v>
      </c>
      <c r="I134" s="65">
        <v>34000</v>
      </c>
      <c r="J134" s="66">
        <v>100</v>
      </c>
    </row>
    <row r="135" spans="1:10" ht="76.5" customHeight="1">
      <c r="A135" s="30"/>
      <c r="B135" s="43"/>
      <c r="C135" s="37"/>
      <c r="D135" s="42" t="s">
        <v>212</v>
      </c>
      <c r="E135" s="42" t="s">
        <v>224</v>
      </c>
      <c r="F135" s="69" t="s">
        <v>222</v>
      </c>
      <c r="G135" s="70">
        <v>1829875</v>
      </c>
      <c r="H135" s="114">
        <f>609546.39*100/1829875</f>
        <v>33.310821230958396</v>
      </c>
      <c r="I135" s="65">
        <v>38000</v>
      </c>
      <c r="J135" s="66">
        <v>100</v>
      </c>
    </row>
    <row r="136" spans="1:10" ht="63" customHeight="1">
      <c r="A136" s="8"/>
      <c r="B136" s="8"/>
      <c r="C136" s="9"/>
      <c r="D136" s="42" t="s">
        <v>103</v>
      </c>
      <c r="E136" s="42" t="s">
        <v>98</v>
      </c>
      <c r="F136" s="66" t="s">
        <v>59</v>
      </c>
      <c r="G136" s="71">
        <v>2877251</v>
      </c>
      <c r="H136" s="114">
        <f>55406*100/G136</f>
        <v>1.9256575112842085</v>
      </c>
      <c r="I136" s="65">
        <v>25240</v>
      </c>
      <c r="J136" s="66">
        <v>100</v>
      </c>
    </row>
    <row r="137" spans="1:10" ht="67.5" customHeight="1">
      <c r="A137" s="8"/>
      <c r="B137" s="8"/>
      <c r="C137" s="9"/>
      <c r="D137" s="42" t="s">
        <v>103</v>
      </c>
      <c r="E137" s="42" t="s">
        <v>99</v>
      </c>
      <c r="F137" s="66" t="s">
        <v>59</v>
      </c>
      <c r="G137" s="70">
        <v>2535650</v>
      </c>
      <c r="H137" s="114">
        <f>806005.54*100/G137</f>
        <v>31.786939837911383</v>
      </c>
      <c r="I137" s="65">
        <v>18055</v>
      </c>
      <c r="J137" s="66">
        <v>100</v>
      </c>
    </row>
    <row r="138" spans="1:10" ht="66.75" customHeight="1">
      <c r="A138" s="8"/>
      <c r="B138" s="8"/>
      <c r="C138" s="9"/>
      <c r="D138" s="42" t="s">
        <v>103</v>
      </c>
      <c r="E138" s="42" t="s">
        <v>100</v>
      </c>
      <c r="F138" s="66" t="s">
        <v>59</v>
      </c>
      <c r="G138" s="70">
        <v>2252829</v>
      </c>
      <c r="H138" s="114">
        <f>792046.56*100/G138</f>
        <v>35.157864178772556</v>
      </c>
      <c r="I138" s="65">
        <v>16303</v>
      </c>
      <c r="J138" s="66">
        <v>100</v>
      </c>
    </row>
    <row r="139" spans="1:10" ht="78">
      <c r="A139" s="8"/>
      <c r="B139" s="8"/>
      <c r="C139" s="9"/>
      <c r="D139" s="42" t="s">
        <v>103</v>
      </c>
      <c r="E139" s="42" t="s">
        <v>101</v>
      </c>
      <c r="F139" s="66" t="s">
        <v>59</v>
      </c>
      <c r="G139" s="70">
        <v>5816842</v>
      </c>
      <c r="H139" s="114">
        <f>1124310.78*100/G139</f>
        <v>19.32854253218499</v>
      </c>
      <c r="I139" s="65">
        <v>30858</v>
      </c>
      <c r="J139" s="66">
        <v>100</v>
      </c>
    </row>
    <row r="140" spans="1:10" ht="68.25" customHeight="1">
      <c r="A140" s="8"/>
      <c r="B140" s="8"/>
      <c r="C140" s="9"/>
      <c r="D140" s="42" t="s">
        <v>103</v>
      </c>
      <c r="E140" s="42" t="s">
        <v>102</v>
      </c>
      <c r="F140" s="66" t="s">
        <v>59</v>
      </c>
      <c r="G140" s="70">
        <v>5345996</v>
      </c>
      <c r="H140" s="114">
        <f>190812.09*100/G140</f>
        <v>3.5692523900130118</v>
      </c>
      <c r="I140" s="65">
        <v>29876</v>
      </c>
      <c r="J140" s="66">
        <v>100</v>
      </c>
    </row>
    <row r="141" spans="1:10" ht="66" customHeight="1">
      <c r="A141" s="8"/>
      <c r="B141" s="8"/>
      <c r="C141" s="9"/>
      <c r="D141" s="42" t="s">
        <v>226</v>
      </c>
      <c r="E141" s="42" t="s">
        <v>227</v>
      </c>
      <c r="F141" s="66" t="s">
        <v>85</v>
      </c>
      <c r="G141" s="70">
        <v>8073563</v>
      </c>
      <c r="H141" s="114">
        <v>95</v>
      </c>
      <c r="I141" s="65">
        <v>205000</v>
      </c>
      <c r="J141" s="66">
        <v>100</v>
      </c>
    </row>
    <row r="142" spans="1:10" ht="76.5" customHeight="1">
      <c r="A142" s="8"/>
      <c r="B142" s="8"/>
      <c r="C142" s="9"/>
      <c r="D142" s="42" t="s">
        <v>228</v>
      </c>
      <c r="E142" s="42" t="s">
        <v>229</v>
      </c>
      <c r="F142" s="66" t="s">
        <v>230</v>
      </c>
      <c r="G142" s="70">
        <v>6542999</v>
      </c>
      <c r="H142" s="114">
        <f>120081.29*100/6542999</f>
        <v>1.8352637681894801</v>
      </c>
      <c r="I142" s="65">
        <v>72000</v>
      </c>
      <c r="J142" s="66">
        <v>100</v>
      </c>
    </row>
    <row r="143" spans="1:10" ht="63" customHeight="1">
      <c r="A143" s="8"/>
      <c r="B143" s="8"/>
      <c r="C143" s="9"/>
      <c r="D143" s="42" t="s">
        <v>231</v>
      </c>
      <c r="E143" s="42" t="s">
        <v>88</v>
      </c>
      <c r="F143" s="66" t="s">
        <v>230</v>
      </c>
      <c r="G143" s="70">
        <v>5688686</v>
      </c>
      <c r="H143" s="114">
        <f>462386.05*100/5688686</f>
        <v>8.128169668707326</v>
      </c>
      <c r="I143" s="65">
        <v>90300</v>
      </c>
      <c r="J143" s="66">
        <v>100</v>
      </c>
    </row>
    <row r="144" spans="1:10" ht="78">
      <c r="A144" s="19" t="s">
        <v>51</v>
      </c>
      <c r="B144" s="19" t="s">
        <v>52</v>
      </c>
      <c r="C144" s="13" t="s">
        <v>2</v>
      </c>
      <c r="D144" s="36" t="s">
        <v>53</v>
      </c>
      <c r="E144" s="22" t="s">
        <v>60</v>
      </c>
      <c r="F144" s="53"/>
      <c r="G144" s="46"/>
      <c r="H144" s="113"/>
      <c r="I144" s="49">
        <f>SUM(I145:I153)</f>
        <v>32162079.000000004</v>
      </c>
      <c r="J144" s="129"/>
    </row>
    <row r="145" spans="1:10" ht="15">
      <c r="A145" s="19"/>
      <c r="B145" s="19"/>
      <c r="C145" s="13"/>
      <c r="D145" s="36"/>
      <c r="E145" s="74" t="s">
        <v>4</v>
      </c>
      <c r="F145" s="75"/>
      <c r="G145" s="77"/>
      <c r="H145" s="118"/>
      <c r="I145" s="76">
        <f>1956173.14-0.63</f>
        <v>1956172.51</v>
      </c>
      <c r="J145" s="131"/>
    </row>
    <row r="146" spans="1:10" ht="62.25">
      <c r="A146" s="19"/>
      <c r="B146" s="19"/>
      <c r="C146" s="13"/>
      <c r="D146" s="36"/>
      <c r="E146" s="74" t="s">
        <v>54</v>
      </c>
      <c r="F146" s="78" t="s">
        <v>59</v>
      </c>
      <c r="G146" s="79">
        <v>7735997</v>
      </c>
      <c r="H146" s="119">
        <v>2</v>
      </c>
      <c r="I146" s="76">
        <v>6542510.11</v>
      </c>
      <c r="J146" s="123">
        <v>100</v>
      </c>
    </row>
    <row r="147" spans="1:10" ht="46.5">
      <c r="A147" s="19"/>
      <c r="B147" s="19"/>
      <c r="C147" s="13"/>
      <c r="D147" s="36"/>
      <c r="E147" s="74" t="s">
        <v>55</v>
      </c>
      <c r="F147" s="78" t="s">
        <v>59</v>
      </c>
      <c r="G147" s="79">
        <v>6458755</v>
      </c>
      <c r="H147" s="119">
        <v>2</v>
      </c>
      <c r="I147" s="76">
        <v>5451481.8</v>
      </c>
      <c r="J147" s="123">
        <v>100</v>
      </c>
    </row>
    <row r="148" spans="1:10" ht="46.5">
      <c r="A148" s="19"/>
      <c r="B148" s="19"/>
      <c r="C148" s="13"/>
      <c r="D148" s="36"/>
      <c r="E148" s="74" t="s">
        <v>56</v>
      </c>
      <c r="F148" s="78" t="s">
        <v>59</v>
      </c>
      <c r="G148" s="79">
        <v>6465044</v>
      </c>
      <c r="H148" s="119">
        <v>2</v>
      </c>
      <c r="I148" s="76">
        <v>5451624.6</v>
      </c>
      <c r="J148" s="123">
        <v>100</v>
      </c>
    </row>
    <row r="149" spans="1:10" ht="46.5">
      <c r="A149" s="19"/>
      <c r="B149" s="19"/>
      <c r="C149" s="13"/>
      <c r="D149" s="36"/>
      <c r="E149" s="74" t="s">
        <v>57</v>
      </c>
      <c r="F149" s="78" t="s">
        <v>59</v>
      </c>
      <c r="G149" s="79">
        <v>6465044</v>
      </c>
      <c r="H149" s="119">
        <v>2</v>
      </c>
      <c r="I149" s="76">
        <v>5451624.6</v>
      </c>
      <c r="J149" s="123">
        <v>100</v>
      </c>
    </row>
    <row r="150" spans="1:10" ht="62.25">
      <c r="A150" s="19"/>
      <c r="B150" s="19"/>
      <c r="C150" s="13"/>
      <c r="D150" s="36"/>
      <c r="E150" s="74" t="s">
        <v>246</v>
      </c>
      <c r="F150" s="78" t="s">
        <v>59</v>
      </c>
      <c r="G150" s="79">
        <v>576055</v>
      </c>
      <c r="H150" s="119">
        <v>92</v>
      </c>
      <c r="I150" s="76">
        <v>467322</v>
      </c>
      <c r="J150" s="123">
        <v>100</v>
      </c>
    </row>
    <row r="151" spans="1:10" ht="62.25">
      <c r="A151" s="19"/>
      <c r="B151" s="19"/>
      <c r="C151" s="13"/>
      <c r="D151" s="36"/>
      <c r="E151" s="74" t="s">
        <v>245</v>
      </c>
      <c r="F151" s="78" t="s">
        <v>59</v>
      </c>
      <c r="G151" s="79">
        <v>6065035</v>
      </c>
      <c r="H151" s="119">
        <v>89</v>
      </c>
      <c r="I151" s="76">
        <v>669488.59</v>
      </c>
      <c r="J151" s="123">
        <v>100</v>
      </c>
    </row>
    <row r="152" spans="1:10" ht="62.25">
      <c r="A152" s="19"/>
      <c r="B152" s="19"/>
      <c r="C152" s="13"/>
      <c r="D152" s="36"/>
      <c r="E152" s="74" t="s">
        <v>244</v>
      </c>
      <c r="F152" s="78" t="s">
        <v>59</v>
      </c>
      <c r="G152" s="79">
        <v>5998837</v>
      </c>
      <c r="H152" s="119">
        <v>87</v>
      </c>
      <c r="I152" s="76">
        <v>793614.79</v>
      </c>
      <c r="J152" s="123">
        <v>100</v>
      </c>
    </row>
    <row r="153" spans="1:10" ht="62.25">
      <c r="A153" s="19"/>
      <c r="B153" s="19"/>
      <c r="C153" s="13"/>
      <c r="D153" s="36"/>
      <c r="E153" s="74" t="s">
        <v>58</v>
      </c>
      <c r="F153" s="78">
        <v>2020</v>
      </c>
      <c r="G153" s="79">
        <v>6235000</v>
      </c>
      <c r="H153" s="108">
        <v>0</v>
      </c>
      <c r="I153" s="76">
        <v>5378240</v>
      </c>
      <c r="J153" s="123">
        <v>100</v>
      </c>
    </row>
    <row r="154" spans="1:10" ht="30.75">
      <c r="A154" s="19">
        <v>1517368</v>
      </c>
      <c r="B154" s="19">
        <v>7368</v>
      </c>
      <c r="C154" s="13" t="s">
        <v>2</v>
      </c>
      <c r="D154" s="36" t="s">
        <v>104</v>
      </c>
      <c r="E154" s="22"/>
      <c r="F154" s="73"/>
      <c r="G154" s="58"/>
      <c r="H154" s="114"/>
      <c r="I154" s="49">
        <f>SUM(I155:I162)</f>
        <v>5258570</v>
      </c>
      <c r="J154" s="130"/>
    </row>
    <row r="155" spans="1:10" ht="108.75">
      <c r="A155" s="91"/>
      <c r="B155" s="91"/>
      <c r="C155" s="94"/>
      <c r="D155" s="139" t="s">
        <v>232</v>
      </c>
      <c r="E155" s="74" t="s">
        <v>233</v>
      </c>
      <c r="F155" s="78" t="s">
        <v>64</v>
      </c>
      <c r="G155" s="79">
        <v>48644572</v>
      </c>
      <c r="H155" s="119">
        <f>5061246*100/48644572</f>
        <v>10.404544211017008</v>
      </c>
      <c r="I155" s="76">
        <v>1500000</v>
      </c>
      <c r="J155" s="123">
        <f>(5061246+1500000)*100/48644572</f>
        <v>13.48813594248501</v>
      </c>
    </row>
    <row r="156" spans="1:10" ht="108.75">
      <c r="A156" s="91"/>
      <c r="B156" s="91"/>
      <c r="C156" s="94"/>
      <c r="D156" s="139" t="s">
        <v>232</v>
      </c>
      <c r="E156" s="74" t="s">
        <v>235</v>
      </c>
      <c r="F156" s="78" t="s">
        <v>217</v>
      </c>
      <c r="G156" s="79">
        <v>47199685</v>
      </c>
      <c r="H156" s="119">
        <f>2824677.12*100/47199685</f>
        <v>5.984525362828163</v>
      </c>
      <c r="I156" s="76">
        <v>1500000</v>
      </c>
      <c r="J156" s="123">
        <f>(2824677.12+1500000)*100/47199685</f>
        <v>9.162512673548562</v>
      </c>
    </row>
    <row r="157" spans="1:10" ht="62.25">
      <c r="A157" s="8"/>
      <c r="B157" s="8"/>
      <c r="C157" s="9"/>
      <c r="D157" s="42" t="s">
        <v>65</v>
      </c>
      <c r="E157" s="42" t="s">
        <v>105</v>
      </c>
      <c r="F157" s="66" t="s">
        <v>64</v>
      </c>
      <c r="G157" s="58">
        <v>106704440</v>
      </c>
      <c r="H157" s="114">
        <f>1823152.64*100/G157</f>
        <v>1.7086005418331234</v>
      </c>
      <c r="I157" s="59">
        <v>500000</v>
      </c>
      <c r="J157" s="66">
        <f>(1823152.64+I157)*100/G157</f>
        <v>2.1771846045019303</v>
      </c>
    </row>
    <row r="158" spans="1:10" ht="46.5">
      <c r="A158" s="91"/>
      <c r="B158" s="91"/>
      <c r="C158" s="94"/>
      <c r="D158" s="139" t="s">
        <v>241</v>
      </c>
      <c r="E158" s="74" t="s">
        <v>234</v>
      </c>
      <c r="F158" s="78" t="s">
        <v>59</v>
      </c>
      <c r="G158" s="79">
        <v>1943575</v>
      </c>
      <c r="H158" s="119">
        <f>1505005*100/1943575</f>
        <v>77.43488159705697</v>
      </c>
      <c r="I158" s="76">
        <v>438570</v>
      </c>
      <c r="J158" s="123">
        <f>(1505005+438570)*100/1943575</f>
        <v>100</v>
      </c>
    </row>
    <row r="159" spans="1:10" ht="78">
      <c r="A159" s="91"/>
      <c r="B159" s="91"/>
      <c r="C159" s="94"/>
      <c r="D159" s="139" t="s">
        <v>218</v>
      </c>
      <c r="E159" s="74" t="s">
        <v>257</v>
      </c>
      <c r="F159" s="78" t="s">
        <v>73</v>
      </c>
      <c r="G159" s="79">
        <v>1715743</v>
      </c>
      <c r="H159" s="119">
        <v>0</v>
      </c>
      <c r="I159" s="76">
        <v>1000000</v>
      </c>
      <c r="J159" s="123">
        <v>58</v>
      </c>
    </row>
    <row r="160" spans="1:10" ht="46.5">
      <c r="A160" s="8"/>
      <c r="B160" s="8"/>
      <c r="C160" s="9"/>
      <c r="D160" s="42" t="s">
        <v>156</v>
      </c>
      <c r="E160" s="42" t="s">
        <v>106</v>
      </c>
      <c r="F160" s="66" t="s">
        <v>66</v>
      </c>
      <c r="G160" s="58">
        <v>76179232</v>
      </c>
      <c r="H160" s="114">
        <f>59762897.1*100/G160</f>
        <v>78.45038015085267</v>
      </c>
      <c r="I160" s="59">
        <v>200000</v>
      </c>
      <c r="J160" s="66">
        <v>100</v>
      </c>
    </row>
    <row r="161" spans="1:10" ht="78">
      <c r="A161" s="8"/>
      <c r="B161" s="40"/>
      <c r="C161" s="9"/>
      <c r="D161" s="42" t="s">
        <v>156</v>
      </c>
      <c r="E161" s="42" t="s">
        <v>252</v>
      </c>
      <c r="F161" s="66" t="s">
        <v>73</v>
      </c>
      <c r="G161" s="58">
        <v>41701977</v>
      </c>
      <c r="H161" s="114">
        <v>0</v>
      </c>
      <c r="I161" s="59">
        <v>100000</v>
      </c>
      <c r="J161" s="66">
        <v>0</v>
      </c>
    </row>
    <row r="162" spans="1:10" ht="78">
      <c r="A162" s="8"/>
      <c r="B162" s="40"/>
      <c r="C162" s="9"/>
      <c r="D162" s="42" t="s">
        <v>247</v>
      </c>
      <c r="E162" s="42" t="s">
        <v>236</v>
      </c>
      <c r="F162" s="66" t="s">
        <v>73</v>
      </c>
      <c r="G162" s="58">
        <v>137833943</v>
      </c>
      <c r="H162" s="114">
        <f>592974*100/137833943</f>
        <v>0.430208979801151</v>
      </c>
      <c r="I162" s="59">
        <v>20000</v>
      </c>
      <c r="J162" s="66">
        <f>(592974+20000)*100/137833943</f>
        <v>0.44471919373299795</v>
      </c>
    </row>
    <row r="163" spans="1:10" ht="46.5">
      <c r="A163" s="19">
        <v>1517463</v>
      </c>
      <c r="B163" s="19">
        <v>7463</v>
      </c>
      <c r="C163" s="13" t="s">
        <v>107</v>
      </c>
      <c r="D163" s="36" t="s">
        <v>108</v>
      </c>
      <c r="E163" s="22"/>
      <c r="F163" s="73"/>
      <c r="G163" s="58"/>
      <c r="H163" s="114"/>
      <c r="I163" s="49">
        <v>4818457</v>
      </c>
      <c r="J163" s="132"/>
    </row>
    <row r="164" spans="1:10" ht="46.5">
      <c r="A164" s="8"/>
      <c r="B164" s="8"/>
      <c r="C164" s="9"/>
      <c r="D164" s="42" t="s">
        <v>157</v>
      </c>
      <c r="E164" s="42" t="s">
        <v>109</v>
      </c>
      <c r="F164" s="64" t="s">
        <v>110</v>
      </c>
      <c r="G164" s="57">
        <v>48589765</v>
      </c>
      <c r="H164" s="117">
        <v>0</v>
      </c>
      <c r="I164" s="65">
        <v>4818457</v>
      </c>
      <c r="J164" s="64">
        <v>11</v>
      </c>
    </row>
    <row r="165" spans="1:10" ht="62.25">
      <c r="A165" s="19" t="s">
        <v>251</v>
      </c>
      <c r="B165" s="19" t="s">
        <v>198</v>
      </c>
      <c r="C165" s="13" t="s">
        <v>19</v>
      </c>
      <c r="D165" s="141" t="s">
        <v>199</v>
      </c>
      <c r="E165" s="42"/>
      <c r="F165" s="64"/>
      <c r="G165" s="57"/>
      <c r="H165" s="117"/>
      <c r="I165" s="68">
        <f>39968307</f>
        <v>39968307</v>
      </c>
      <c r="J165" s="64"/>
    </row>
    <row r="166" spans="1:10" ht="15">
      <c r="A166" s="19">
        <v>1519770</v>
      </c>
      <c r="B166" s="19">
        <v>9770</v>
      </c>
      <c r="C166" s="13" t="s">
        <v>19</v>
      </c>
      <c r="D166" s="36" t="s">
        <v>211</v>
      </c>
      <c r="E166" s="42"/>
      <c r="F166" s="64"/>
      <c r="G166" s="57"/>
      <c r="H166" s="117"/>
      <c r="I166" s="68">
        <v>6240000</v>
      </c>
      <c r="J166" s="64"/>
    </row>
    <row r="167" spans="1:10" ht="46.5">
      <c r="A167" s="7" t="s">
        <v>145</v>
      </c>
      <c r="B167" s="5"/>
      <c r="C167" s="5"/>
      <c r="D167" s="5" t="s">
        <v>146</v>
      </c>
      <c r="E167" s="7" t="s">
        <v>20</v>
      </c>
      <c r="F167" s="6"/>
      <c r="G167" s="136"/>
      <c r="H167" s="120"/>
      <c r="I167" s="83">
        <f>I168</f>
        <v>150000</v>
      </c>
      <c r="J167" s="133"/>
    </row>
    <row r="168" spans="1:10" ht="46.5">
      <c r="A168" s="7" t="s">
        <v>147</v>
      </c>
      <c r="B168" s="5"/>
      <c r="C168" s="5"/>
      <c r="D168" s="5" t="s">
        <v>146</v>
      </c>
      <c r="E168" s="7"/>
      <c r="F168" s="6"/>
      <c r="G168" s="136"/>
      <c r="H168" s="120"/>
      <c r="I168" s="83">
        <f>I169</f>
        <v>150000</v>
      </c>
      <c r="J168" s="133"/>
    </row>
    <row r="169" spans="1:10" ht="30.75">
      <c r="A169" s="13" t="s">
        <v>142</v>
      </c>
      <c r="B169" s="13" t="s">
        <v>143</v>
      </c>
      <c r="C169" s="13" t="s">
        <v>2</v>
      </c>
      <c r="D169" s="15" t="s">
        <v>144</v>
      </c>
      <c r="E169" s="11"/>
      <c r="F169" s="11"/>
      <c r="G169" s="137"/>
      <c r="H169" s="121"/>
      <c r="I169" s="84">
        <v>150000</v>
      </c>
      <c r="J169" s="134"/>
    </row>
    <row r="170" spans="1:10" ht="30.75">
      <c r="A170" s="7" t="s">
        <v>148</v>
      </c>
      <c r="B170" s="5"/>
      <c r="C170" s="5"/>
      <c r="D170" s="5" t="s">
        <v>149</v>
      </c>
      <c r="E170" s="7" t="s">
        <v>20</v>
      </c>
      <c r="F170" s="6"/>
      <c r="G170" s="136"/>
      <c r="H170" s="120"/>
      <c r="I170" s="83">
        <f>I171</f>
        <v>290000</v>
      </c>
      <c r="J170" s="133"/>
    </row>
    <row r="171" spans="1:10" ht="30.75">
      <c r="A171" s="7" t="s">
        <v>150</v>
      </c>
      <c r="B171" s="5"/>
      <c r="C171" s="5"/>
      <c r="D171" s="5" t="s">
        <v>149</v>
      </c>
      <c r="E171" s="7"/>
      <c r="F171" s="6"/>
      <c r="G171" s="136"/>
      <c r="H171" s="120"/>
      <c r="I171" s="83">
        <f>I172</f>
        <v>290000</v>
      </c>
      <c r="J171" s="133"/>
    </row>
    <row r="172" spans="1:10" ht="46.5">
      <c r="A172" s="13" t="s">
        <v>151</v>
      </c>
      <c r="B172" s="13" t="s">
        <v>152</v>
      </c>
      <c r="C172" s="13" t="s">
        <v>19</v>
      </c>
      <c r="D172" s="15" t="s">
        <v>153</v>
      </c>
      <c r="E172" s="11"/>
      <c r="F172" s="11"/>
      <c r="G172" s="137"/>
      <c r="H172" s="121"/>
      <c r="I172" s="84">
        <v>290000</v>
      </c>
      <c r="J172" s="134"/>
    </row>
    <row r="173" spans="1:10" ht="20.25" customHeight="1">
      <c r="A173" s="8"/>
      <c r="B173" s="8"/>
      <c r="C173" s="9"/>
      <c r="D173" s="10" t="s">
        <v>18</v>
      </c>
      <c r="E173" s="12"/>
      <c r="F173" s="12"/>
      <c r="G173" s="138"/>
      <c r="H173" s="122"/>
      <c r="I173" s="85">
        <f>I12+I16+I48+I62+I66+I69+I167+I170</f>
        <v>265105049.59</v>
      </c>
      <c r="J173" s="135"/>
    </row>
    <row r="174" ht="89.25" customHeight="1"/>
    <row r="175" spans="1:11" ht="111" customHeight="1">
      <c r="A175" s="150" t="s">
        <v>1</v>
      </c>
      <c r="B175" s="150"/>
      <c r="C175" s="150"/>
      <c r="D175" s="150"/>
      <c r="E175" s="150"/>
      <c r="F175" s="17"/>
      <c r="G175" s="149" t="s">
        <v>17</v>
      </c>
      <c r="H175" s="149"/>
      <c r="I175" s="149"/>
      <c r="J175" s="149"/>
      <c r="K175" s="17"/>
    </row>
    <row r="178" spans="7:8" ht="15">
      <c r="G178" s="4"/>
      <c r="H178" s="4"/>
    </row>
  </sheetData>
  <sheetProtection/>
  <mergeCells count="5">
    <mergeCell ref="B6:J6"/>
    <mergeCell ref="G175:J175"/>
    <mergeCell ref="A175:E175"/>
    <mergeCell ref="A7:B7"/>
    <mergeCell ref="A8:B8"/>
  </mergeCells>
  <printOptions/>
  <pageMargins left="0.5905511811023623" right="0.3937007874015748" top="0.5511811023622047" bottom="0.5905511811023623" header="0.31496062992125984" footer="0.5118110236220472"/>
  <pageSetup horizontalDpi="600" verticalDpi="600" orientation="landscape" paperSize="9" scale="6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2020-03-19T15:08:39Z</cp:lastPrinted>
  <dcterms:created xsi:type="dcterms:W3CDTF">2004-01-17T10:33:37Z</dcterms:created>
  <dcterms:modified xsi:type="dcterms:W3CDTF">2020-03-20T08:29:33Z</dcterms:modified>
  <cp:category/>
  <cp:version/>
  <cp:contentType/>
  <cp:contentStatus/>
</cp:coreProperties>
</file>