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аток 1" sheetId="1" r:id="rId1"/>
    <sheet name="додаток 2" sheetId="2" r:id="rId2"/>
    <sheet name="додаток 2 ПЦМ" sheetId="3" r:id="rId3"/>
    <sheet name="додаток 3" sheetId="4" r:id="rId4"/>
    <sheet name="додаток 4" sheetId="5" r:id="rId5"/>
    <sheet name="додаток 5 " sheetId="6" r:id="rId6"/>
    <sheet name="додаток 6" sheetId="7" r:id="rId7"/>
    <sheet name="додаток 7" sheetId="8" r:id="rId8"/>
    <sheet name="додаток 8" sheetId="9" r:id="rId9"/>
    <sheet name="додаток 9" sheetId="10" r:id="rId10"/>
    <sheet name="додаток 10" sheetId="11" r:id="rId11"/>
  </sheets>
  <definedNames>
    <definedName name="_xlnm.Print_Titles" localSheetId="0">'додаток 1'!$8:$12</definedName>
    <definedName name="_xlnm.Print_Titles" localSheetId="10">'додаток 10'!$6:$8</definedName>
    <definedName name="_xlnm.Print_Titles" localSheetId="1">'додаток 2'!$7:$10</definedName>
    <definedName name="_xlnm.Print_Titles" localSheetId="2">'додаток 2 ПЦМ'!$7:$10</definedName>
    <definedName name="_xlnm.Print_Titles" localSheetId="3">'додаток 3'!$A:$D,'додаток 3'!$3:$11</definedName>
    <definedName name="_xlnm.Print_Titles" localSheetId="5">'додаток 5 '!$7:$9</definedName>
    <definedName name="_xlnm.Print_Titles" localSheetId="6">'додаток 6'!$6:$7</definedName>
    <definedName name="_xlnm.Print_Titles" localSheetId="7">'додаток 7'!$7:$8</definedName>
    <definedName name="_xlnm.Print_Titles" localSheetId="9">'додаток 9'!$6:$8</definedName>
    <definedName name="_xlnm.Print_Area" localSheetId="0">'додаток 1'!$A$1:$M$141</definedName>
    <definedName name="_xlnm.Print_Area" localSheetId="10">'додаток 10'!$A$1:$N$86</definedName>
    <definedName name="_xlnm.Print_Area" localSheetId="1">'додаток 2'!$A$1:$M$194</definedName>
    <definedName name="_xlnm.Print_Area" localSheetId="2">'додаток 2 ПЦМ'!$A$1:$N$154</definedName>
    <definedName name="_xlnm.Print_Area" localSheetId="3">'додаток 3'!$A$1:$L$38</definedName>
    <definedName name="_xlnm.Print_Area" localSheetId="5">'додаток 5 '!$A$1:$F$22</definedName>
    <definedName name="_xlnm.Print_Area" localSheetId="6">'додаток 6'!$A$1:$G$73</definedName>
    <definedName name="_xlnm.Print_Area" localSheetId="7">'додаток 7'!$A$1:$G$66</definedName>
    <definedName name="_xlnm.Print_Area" localSheetId="8">'додаток 8'!$A$1:$D$45</definedName>
    <definedName name="_xlnm.Print_Area" localSheetId="9">'додаток 9'!$A$1:$L$232</definedName>
  </definedNames>
  <calcPr fullCalcOnLoad="1"/>
</workbook>
</file>

<file path=xl/comments6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<sst xmlns="http://schemas.openxmlformats.org/spreadsheetml/2006/main" count="1841" uniqueCount="938">
  <si>
    <t>Всього</t>
  </si>
  <si>
    <t xml:space="preserve">Загальний фонд </t>
  </si>
  <si>
    <t>Найменування програми</t>
  </si>
  <si>
    <t>сума</t>
  </si>
  <si>
    <t xml:space="preserve">Спеціальний фонд </t>
  </si>
  <si>
    <t xml:space="preserve">Разом </t>
  </si>
  <si>
    <t>до рішення Рівненської обласної ради</t>
  </si>
  <si>
    <t>(грн.)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</si>
  <si>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</si>
  <si>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</si>
  <si>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</si>
  <si>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</si>
  <si>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10</t>
  </si>
  <si>
    <t>Управління  освіти і науки облдержадміністрації</t>
  </si>
  <si>
    <t>070807</t>
  </si>
  <si>
    <t>Інші освітні програми</t>
  </si>
  <si>
    <t>51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</si>
  <si>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</si>
  <si>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Програма економічного та соцільного розвитку Рівненської області на 2013 рік</t>
  </si>
  <si>
    <t>40</t>
  </si>
  <si>
    <t>Департамент житлово-комунального господарства, енергетики та енергоефективності облдержадміністрації</t>
  </si>
  <si>
    <t>250380</t>
  </si>
  <si>
    <t xml:space="preserve">Інші субвенції </t>
  </si>
  <si>
    <t>Управління інфраструктури та промисловості облдержадміністрації</t>
  </si>
  <si>
    <t>24</t>
  </si>
  <si>
    <t>Управління культури і туризму  облдержадміністрації</t>
  </si>
  <si>
    <t>01</t>
  </si>
  <si>
    <t xml:space="preserve">Обласна рада </t>
  </si>
  <si>
    <t xml:space="preserve">Комплексна програма забезпечення містобудівною документацією населених пунктів та територій Рівненської області на 2011-2015 роки </t>
  </si>
  <si>
    <t>Інші субвенції</t>
  </si>
  <si>
    <t>Програма електрифікації новозбудованих вулиць сільських населених пунктів області на період до 2015 року</t>
  </si>
  <si>
    <t>47</t>
  </si>
  <si>
    <t>Департамент  з питань будівництва та архітектури облдержадміністрації</t>
  </si>
  <si>
    <t>73</t>
  </si>
  <si>
    <t>Департамент економічного розвитку і торгівлі облдержадміністрації</t>
  </si>
  <si>
    <t>Програма економічного та соціального розвитку Рівненської області на 2013 рік (проведення щорічного обласного конкурсу проектів розвитку територіальних громад області)</t>
  </si>
  <si>
    <t>180404</t>
  </si>
  <si>
    <t>Підтримка малого і середнього підприємництва</t>
  </si>
  <si>
    <t>Програма розвитку малого і середнього підприємництва в Рівненській області на 2013-2014 роки</t>
  </si>
  <si>
    <t>180410</t>
  </si>
  <si>
    <t>Інші заходи, пов'язані з економічною діяльністю</t>
  </si>
  <si>
    <t>Програма розвитку інвестиційної діяльності Рівненської області на 2013-2015 роки</t>
  </si>
  <si>
    <t>09</t>
  </si>
  <si>
    <t>Обласна програма розвитку міжнародного співробітництва та міжрегіональної співпраці на 2013-2015 роки</t>
  </si>
  <si>
    <t>08</t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</si>
  <si>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</si>
  <si>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</si>
  <si>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</si>
  <si>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53</t>
  </si>
  <si>
    <t>Надання бюджетних позичок суб'єктам підприємницької діяльності </t>
  </si>
  <si>
    <t>Програма підтримки фермерських господарств області на 2011-2015 роки</t>
  </si>
  <si>
    <t>Департамент агропромислового розвитку облдержадміністрації</t>
  </si>
  <si>
    <t>67</t>
  </si>
  <si>
    <t>Управління з питань надзвичайних ситуацій та цивільного захисту населення облдержадміністрації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</si>
  <si>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</si>
  <si>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</si>
  <si>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</t>
  </si>
  <si>
    <t>03</t>
  </si>
  <si>
    <t>Обласна державна адміністрація</t>
  </si>
  <si>
    <t>Управління міжнародного співробітництва та європейської інтеграції облдержадміністрації</t>
  </si>
  <si>
    <t>250404</t>
  </si>
  <si>
    <t>Управління з питань публічної аналітики та прогнозування облдержадміністрації</t>
  </si>
  <si>
    <t>Інші видатки</t>
  </si>
  <si>
    <t xml:space="preserve">Програма розвитку туризму в Рівненській області на 2011-2015 роки
 </t>
  </si>
  <si>
    <t>Програма впровадження інформаційно-комунікаційних технологій у навчальних закладах області на період до 2015 року</t>
  </si>
  <si>
    <t>15</t>
  </si>
  <si>
    <t>091214</t>
  </si>
  <si>
    <t xml:space="preserve"> Інші установи та заклади </t>
  </si>
  <si>
    <t>Департамент соціального захисту населення облдержадміністрації</t>
  </si>
  <si>
    <t xml:space="preserve">Перший заступник голови обласної ради                                                                                                                                                       </t>
  </si>
  <si>
    <t>М.П.Кривко</t>
  </si>
  <si>
    <t>11</t>
  </si>
  <si>
    <t>Управління у справах молоді  та спорту облдержадміністрації</t>
  </si>
  <si>
    <t>Зміни до переліку державних та регіональних галузевих програм по обласному бюджету на 2014 рік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</si>
  <si>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</si>
  <si>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2013-2017 роки</t>
  </si>
  <si>
    <t>Надання державного  пільгового кредиту індивідуальним сільським забудовникам</t>
  </si>
  <si>
    <t>Програма розвитку туризму в Рівненській області  на 2011-2015 роки</t>
  </si>
  <si>
    <t>Обласна цільова програма індивідуального житлового будівництва у сільській місцевості "Власний дім" на 2010-2015 роки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</si>
  <si>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</si>
  <si>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</si>
  <si>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2013-2017 роки</t>
  </si>
  <si>
    <t>Програма економічного та соціального розвитку Рівненської області на 2013 рік (для фінансування заходів з реалізації проектів-переможців  обласного конкурсу проектів розвитку територіальних громад 2013 року)</t>
  </si>
  <si>
    <t xml:space="preserve">Програма економічного та соцільного розвитку Рівненської області на 2013 рік 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</si>
  <si>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</si>
  <si>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 xml:space="preserve">Програма підтримки молоді в області на 2009-2015 роки                                                                                                                                      </t>
  </si>
  <si>
    <t>Обласна цільова соціальна програма розвитку позашкільної освіти на період до 2014 року</t>
  </si>
  <si>
    <t>Обласна програма відпочинку та оздоровлення дітей на 2009-2013 роки</t>
  </si>
  <si>
    <t>Програма роботи з обдарованою молоддю області на 2011-2014 роки</t>
  </si>
  <si>
    <t>Програма розвитку дошкільної освіти області на 2011-2017 роки</t>
  </si>
  <si>
    <t>Обласна цільова програма розвитку професійно-технічної освіти на 2011-2015 роки</t>
  </si>
  <si>
    <t>Обласна програма матеріальної підтримки найбільш незахищених верств населення на 2013-2017 роки</t>
  </si>
  <si>
    <t>Програма підтримки та розвитку культури села Рівненської області на період до 2015 року</t>
  </si>
  <si>
    <t>Програма підтримки молоді в області на 2009-2015 роки, в тому числі</t>
  </si>
  <si>
    <t>091102</t>
  </si>
  <si>
    <t>Програми i заходи центрiв соцiальних служб для сім'ї, дітей та молодi</t>
  </si>
  <si>
    <t>Програма підтримки молоді в області на 2009-2015 роки</t>
  </si>
  <si>
    <t>091103</t>
  </si>
  <si>
    <t>Соціальні програми i заходи державних органiв у справах молоді</t>
  </si>
  <si>
    <t>091106</t>
  </si>
  <si>
    <t>Iншi видатки</t>
  </si>
  <si>
    <t>Обласна програма забезпечення профілактики ВІЛ-інфекцій, лікування, догляду та підтримки ВІЛ-інфікованих і хворих на СНІД на 2009-2013 роки</t>
  </si>
  <si>
    <t>130102</t>
  </si>
  <si>
    <t>Проведення навчально-тренувальних зборiв i змагань</t>
  </si>
  <si>
    <t xml:space="preserve">Програма розвитку фізичної культури і спорту в Рівненській області на  2013 рік                                        
</t>
  </si>
  <si>
    <t>130104</t>
  </si>
  <si>
    <t>Видатки на утримання центрів з інвалідного спорту і реабілітаційних шкіл </t>
  </si>
  <si>
    <t>130105</t>
  </si>
  <si>
    <t>Проведення навчально-тренувальних зборiв i змагань та заходiв з iнвалiдного спорту</t>
  </si>
  <si>
    <t>130106</t>
  </si>
  <si>
    <t>Проведення заходів з нетрадиційних видів спорту і масових заходів з фізичної культури</t>
  </si>
  <si>
    <t>130114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</si>
  <si>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</si>
  <si>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</si>
  <si>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</si>
  <si>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 xml:space="preserve">Програма розвитку фізичної культури і спорту в Рівненській області на  2013 рік, в тому числі                                        
</t>
  </si>
  <si>
    <t xml:space="preserve">Програма розвитку фізичної культури і спорту в Рівненській області на  2013 рік , в тому числі                                       
</t>
  </si>
  <si>
    <t>Додаток 7</t>
  </si>
  <si>
    <t>Обласна цільова програма підвищення рівня безпеки дорожнього руху на період до 2016 року</t>
  </si>
  <si>
    <r>
      <t xml:space="preserve">від </t>
    </r>
    <r>
      <rPr>
        <u val="single"/>
        <sz val="12"/>
        <rFont val="Times New Roman"/>
        <family val="1"/>
      </rPr>
      <t>04 лютого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року №</t>
    </r>
    <r>
      <rPr>
        <u val="single"/>
        <sz val="12"/>
        <rFont val="Times New Roman"/>
        <family val="1"/>
      </rPr>
      <t>1130</t>
    </r>
    <r>
      <rPr>
        <sz val="12"/>
        <rFont val="Times New Roman"/>
        <family val="1"/>
      </rPr>
      <t xml:space="preserve"> </t>
    </r>
  </si>
  <si>
    <t xml:space="preserve"> тел.26-59-72</t>
  </si>
  <si>
    <t>вик.Г.Сирота</t>
  </si>
  <si>
    <t>Перший заступник голови обласної ради</t>
  </si>
  <si>
    <t>Разом:</t>
  </si>
  <si>
    <t>Всього:</t>
  </si>
  <si>
    <t>Забезпечення екологічно безпечного перевезення та утилізації відпрацьованих люмінесцентних ламп в с.Шубків Рівненського району)</t>
  </si>
  <si>
    <t>250380 Інші субвенції</t>
  </si>
  <si>
    <t>Розробка проектно-кошторисної документації на роботи з реконструкції каналізаційних очисних споруд Полицької виправної колонії управління Державної пенітенціарної служби України в Рівненській області (№76)</t>
  </si>
  <si>
    <t>250344 Субвенція з місцевого бюджету державному бюджету на виконання програм соціально-економічного та культурного розвитку регіонів</t>
  </si>
  <si>
    <t>Видання книжки "Довкілля Рівненщини за 2012 рік" та виконання заходів щодо пропаганди охорони навколишнього природного середовища (проведення семінарів та інших заходів, видання поліграфічної продукції, придбання літератури та підписка періодичних видань з екологічної тематики)</t>
  </si>
  <si>
    <t>240604 Інша діяльність у сфері охорони навколишнього природного середовища </t>
  </si>
  <si>
    <t>Кріплення лівого берега р.Стир для захисту будівель від зсуву грунту і попередження руйнування очисних споруд смт Зарічне (будівництво)</t>
  </si>
  <si>
    <t>Виготовлення проектно-кошторисної документації "Виконання заходів щодо відновлення і підтримання сприятливого гідрологічного режиму та санітарного стану р.Вирка, а також заходів для боротьби зі шкідливою дією вод на території Городецької сільської ради Володимирецького району (будівництво)"</t>
  </si>
  <si>
    <t>240603  Ліквідація іншого забруднення навколишнього природного середовища</t>
  </si>
  <si>
    <t>Придбання спецавтотринспорту для збору і транспортування твердих побутових відходів в смт Гоща</t>
  </si>
  <si>
    <t>Придбання спецавтотринспорту для збору і транспортування твердих побутових відходів в с.Оженин Острозького району</t>
  </si>
  <si>
    <t>240602 Утилізація відходів </t>
  </si>
  <si>
    <t>Виконання заходів з обладнання парку-пам"ятки садово-паркового мистецтва місцевого значення "Тучинський парк" Гощанського району</t>
  </si>
  <si>
    <t>Реконструкція парку відпочинку та дозвілля в смт Демидівка (озеленення)</t>
  </si>
  <si>
    <t>Виготовлення проектно-кошторисної документації "Реконструкція та розширення очисних споруд каналізації в м.Дубно Рівненської області"</t>
  </si>
  <si>
    <t>Відновлення якості зужитої в побуті та промисловості стічної води на комунальних очисних спорудах смт Володимирець (реконструкція)</t>
  </si>
  <si>
    <t>Очисні споруди потужністю 600 м3 на добу, смт.Млинів-реконструкція</t>
  </si>
  <si>
    <t>Каналізаційні очисні споруди, каналізаційна мережа, напірний колектор в м.Дубно-реконструкція</t>
  </si>
  <si>
    <t>Будівництво КНС і каналізаційної мережі по вул.Заводська в с.Оженин-1 Острозького району</t>
  </si>
  <si>
    <t>Водовідведення каналізаційних стоків с.Могиляни по вул.Заводській Острозького району (будівництво)</t>
  </si>
  <si>
    <t>Будівництво каналізаційного колектора від багатоквартирних будинків в с.Новий Корець по вул.Садовій та Молодіжній (Корецький район, Рівненська область)</t>
  </si>
  <si>
    <t>Будівництво зливової каналізації з вул.Зеленої та 8 Березня в м.Здолбунів</t>
  </si>
  <si>
    <t>240601 Охорона та раціональне використання природних ресурсів</t>
  </si>
  <si>
    <t>Сума кредиторської заборгованості станом на 01.01.2014</t>
  </si>
  <si>
    <t>КЕКВ</t>
  </si>
  <si>
    <t>Назва об'єкта</t>
  </si>
  <si>
    <t>№</t>
  </si>
  <si>
    <t xml:space="preserve">Перелік природоохоронних заходів , по яких утворилася заборгованість  за виконані роботи у 2013 році                            </t>
  </si>
  <si>
    <r>
      <t xml:space="preserve">від </t>
    </r>
    <r>
      <rPr>
        <u val="single"/>
        <sz val="12"/>
        <rFont val="Times New Roman"/>
        <family val="1"/>
      </rPr>
      <t>04 лютого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року №</t>
    </r>
    <r>
      <rPr>
        <u val="single"/>
        <sz val="12"/>
        <rFont val="Times New Roman"/>
        <family val="1"/>
      </rPr>
      <t>1130</t>
    </r>
  </si>
  <si>
    <t xml:space="preserve">до рішення Рівненської обласної ради  </t>
  </si>
  <si>
    <t xml:space="preserve">Додаток 8  </t>
  </si>
  <si>
    <t>Поточні видатки</t>
  </si>
  <si>
    <t>Капітальні видатки</t>
  </si>
  <si>
    <t>Разом, в тому числі:</t>
  </si>
  <si>
    <t>Поточний ремонт проїзду  від вул. Дорошенка до дитячого садка № 11 в м. Рівне</t>
  </si>
  <si>
    <t>Поточний ремонт вул. Бульби Боровця в м. Рівне</t>
  </si>
  <si>
    <t>Капітальний ремонт перехрестя вул.Павлюченка-вул.Макарова в м.Рівне</t>
  </si>
  <si>
    <t>м. Рівне</t>
  </si>
  <si>
    <t>Капітальний ремонт дороги по вул. Дуліби в м. Острог</t>
  </si>
  <si>
    <t>м. Острог</t>
  </si>
  <si>
    <t>Поточний ремонт доріг по вул. Набережна, вул. Паркова, м. Кузнецовськ</t>
  </si>
  <si>
    <t>м.Кузнецовськ</t>
  </si>
  <si>
    <t>Поточний ремонт дороги по вул.Пушкіна в м.Сарни</t>
  </si>
  <si>
    <t>Поточний ремонт дороги по вул.Короленка в м.Сарни</t>
  </si>
  <si>
    <t>Поточний ремонт дороги по вул. Матросова в м. Сарни</t>
  </si>
  <si>
    <t>Поточний ремонт дороги по вул. Технічна в м. Сарни</t>
  </si>
  <si>
    <t>Поточний ремонт дороги по вул. Дубняківська в с. Дубняки Сарненського району</t>
  </si>
  <si>
    <t xml:space="preserve">Поточний ремонт дороги по вул. Случанська від буд. № 36 до буд. № 42 в с. Стрільськ Сарненського району </t>
  </si>
  <si>
    <t>Поточний ремонт дороги по вул. Заводська  в с. Пугач  Сарненського району</t>
  </si>
  <si>
    <t>Поточний ремонт частини дороги по вул. Б.Хмельницького від буд. №10 до буд. № 14 в с. Селище Сарненського району</t>
  </si>
  <si>
    <t>Поточний ремонт дороги по вул. Шевченка в с. Дубки Сарненського району</t>
  </si>
  <si>
    <t>Поточний ремонт дороги по вул. Центральна в с. Яблунька Сарненського району</t>
  </si>
  <si>
    <t>Поточний ремонт дороги по вул. Садова в с. Іванівка Сарненського району</t>
  </si>
  <si>
    <t>Поточний ремонт дороги по вул. Шкільна до вул. Лугова в с. Одринки Сарненського району</t>
  </si>
  <si>
    <t>Поточний ремонт дороги по вул. Садова в с. Карпилівка Сарненського району</t>
  </si>
  <si>
    <t>Поточний ремонт дороги по вул. Кузнецова в с. Кам'яне-Случанське Сарненського району</t>
  </si>
  <si>
    <t>Капітальний ремонт дороги по вулиці Миру в м. Сарни</t>
  </si>
  <si>
    <t>Капітальний ремонт дороги по вул. Зарічна в с. Тинне Сарненського району</t>
  </si>
  <si>
    <t xml:space="preserve">Капітальний ремонт дороги по вул. Случанська  в с. Стрільськ Сарненського району </t>
  </si>
  <si>
    <t>Капітальний ремонт дороги по вул. Шкільна в смт Степань Сарненського району</t>
  </si>
  <si>
    <t>Капітальний ремонт дороги по вул. Чорновола в смт Степань Сарненського району</t>
  </si>
  <si>
    <t>Капітальний ремонт дороги по вул. Радянська в с. Немовичі Сарненського району</t>
  </si>
  <si>
    <t>Капітальний ремонт дороги по вул. Філіпенка в с. Глушиця Сарненського району</t>
  </si>
  <si>
    <t>Капітальний ремонт  дороги по вул.Шкільна, Шевченка в с. Вири Сарненського району</t>
  </si>
  <si>
    <t>Сарненський район</t>
  </si>
  <si>
    <t>Поточний ремонт дороги по вул. Леніна в смт Томашгород Рокитнівського району</t>
  </si>
  <si>
    <t>Поточний ремонт дороги по вул. Медведєва в с. Будки-Сновидовицькі Рокитнівського району</t>
  </si>
  <si>
    <t>Поточний ремонт дороги по вул. Гагаріна від будинку № 34 до будинку № 36 в с. Томашгород Рокитнівського району</t>
  </si>
  <si>
    <t>Поточний ремонт дороги по вул. Радянська в с. Кисоричі Рокитнівського району</t>
  </si>
  <si>
    <t xml:space="preserve">Поточний ремонт дороги по вул. Хутірська в с. Масевичі Рокитнівського району </t>
  </si>
  <si>
    <t>Поточний ремонт дороги по вул. Лесі Українки в с. Залав'я Рокитнівського району</t>
  </si>
  <si>
    <t>Капітальний ремонт дороги по вул. Незалежності в смт Рокитне Рокитнівського району</t>
  </si>
  <si>
    <t>Капітальний ремонт дороги по вул. Польова в смт Томашгород Рокитнівського району</t>
  </si>
  <si>
    <t>Капітальний ремонт дороги по вул. Гагаріна в с. Томашгород Рокитнівського району</t>
  </si>
  <si>
    <t xml:space="preserve">Капітальний ремонт дороги по вул. Набережна та вул. Степана Бандери в с. Нетреба Рокитнівського району </t>
  </si>
  <si>
    <t>Капітальний ремонт дороги по вул. Польова та вул. Зарічна в с. Масевичі Рокитнівського району</t>
  </si>
  <si>
    <t>Рокитнівський район</t>
  </si>
  <si>
    <t>Поточний ремонт вул. Центральна в смт Оржів Рівненського району</t>
  </si>
  <si>
    <t>Поточний ремонт вул. Л.Українки в с. Порозове Рівненського району</t>
  </si>
  <si>
    <t>Поточний ремонт вул. Ремельська   в с. Ремель Рівненського району</t>
  </si>
  <si>
    <t>Поточний ремонт вул. Колгоспна в с. Забороль Рівненського району</t>
  </si>
  <si>
    <t>Поточний ремонт вул.Зарічна в с. Великий Житин Рівненського району</t>
  </si>
  <si>
    <t>Капітальний ремонт вул. Дем'янівська в с. Шубків Рівненського району</t>
  </si>
  <si>
    <t>Капітальний ремонт вул. Л.Українки в с. Малий Олексин Рівненського району</t>
  </si>
  <si>
    <t xml:space="preserve">Капітальний ремонт вул. Нова  в смт Квасилів Рівненського району </t>
  </si>
  <si>
    <t>Капітальний ремонт вул. Зарічна в с. Тайкури Рівненського району</t>
  </si>
  <si>
    <t>Капітальний ремонт вул. Шевченка в с. Тайкури Рівненського району</t>
  </si>
  <si>
    <t>Капітальний ремонт вул. Медична в с. Козлин Рівненського району</t>
  </si>
  <si>
    <t>Капітальний ремонт вул. Л.Українки в с. Колоденка Рівненського району</t>
  </si>
  <si>
    <t>Капітальний ремонт вул. Кругівська в с. Жобрин Рівненського району</t>
  </si>
  <si>
    <t>Капітальний ремонт вул. Хмільова в с. Дядьковичі Рівненського району</t>
  </si>
  <si>
    <t>Капітальний ремонт вул. Котовського в с. Дібрівка Рівненського району</t>
  </si>
  <si>
    <t>Капітальний ремонт вул. Зарічна в с. Городище Рівненського району</t>
  </si>
  <si>
    <t>Капітальний ремонт вул. Приходька  в с. Малий Житин Рівненського району</t>
  </si>
  <si>
    <t>Капітальний ремонт вул. Гагаріна в с. Бронники Рівненського району</t>
  </si>
  <si>
    <t>Капітальний ремонт вул. Грушевського  в с. Біла Криниця Рівненського району</t>
  </si>
  <si>
    <t>Рівненський район</t>
  </si>
  <si>
    <t>Поточний ремонт дороги по вул.Балки в с.Балки Радивилівського району</t>
  </si>
  <si>
    <t xml:space="preserve">Поточний ремонт дороги по вул. Зарічна в с. Перенятин Радивилівського району  </t>
  </si>
  <si>
    <t xml:space="preserve">Капітальний ремонт дороги  по вул. Дубовицька в с. Жовтневе Радивилівського району  </t>
  </si>
  <si>
    <t xml:space="preserve">Капітальний ремонт дороги по вул. Шевченка в с. Михайлівка Радивилівського району  </t>
  </si>
  <si>
    <t>Капітальний ремонт дороги по вул. Довга в с. Крупець Радивилівського району</t>
  </si>
  <si>
    <t>Радивилівський район</t>
  </si>
  <si>
    <t>Реконструкція автомобільної дороги с. Болотківці - с. Кунів Острозького району</t>
  </si>
  <si>
    <t>Острозький район</t>
  </si>
  <si>
    <t>Капітальний ремонт вул. Незалежності в с. Острожець Млинівського району</t>
  </si>
  <si>
    <t>Млинівський район</t>
  </si>
  <si>
    <t>Поточний ремонт вул. Зелена в с. Тихе Костопільського району</t>
  </si>
  <si>
    <t>Поточний ремонт пров. Польовий в с. Борщівка Костопільського району</t>
  </si>
  <si>
    <t>Поточний ремонт вул. Дружби в с. Мала Любаша Костопільського району</t>
  </si>
  <si>
    <t>Капітальний ремонт вул. Полуботка в с. Постійне Костопільського району</t>
  </si>
  <si>
    <t>Капітальний ремонт під'їзної дороги до кладовища в с. Маща Костопільського району</t>
  </si>
  <si>
    <t>Капітальний ремонт вул. Скороденець в с. Малий Стидин Костопільського району</t>
  </si>
  <si>
    <t>Капітальний ремонт дороги вул. Поліська в с. Борщівка Костопільського району</t>
  </si>
  <si>
    <t>Капітальний ремонт вул. Назалежності в с. Деражне Костопільського району</t>
  </si>
  <si>
    <t>Капітальний ремонт вул. Набережна в с. Великий Мидськ Костопільського району</t>
  </si>
  <si>
    <t>Костопільський район</t>
  </si>
  <si>
    <t>Капітальний ремонт вул. Грабовщина в с. Н. Корець  Корецького району</t>
  </si>
  <si>
    <t>Корецький район</t>
  </si>
  <si>
    <t>Поточний ремонт вул. Зацерків'я в с. Здовбиця Здолбунівського району</t>
  </si>
  <si>
    <t>Поточний ремонт вул. Молодіжна в с. Копиткове Здолбунівського району</t>
  </si>
  <si>
    <t>Капітальний ремонт вул. Шкільна в с. Копиткове Здолбунівського району</t>
  </si>
  <si>
    <t>Капітальний ремонт дорожнього покриття по вул. Стефановича міста Здолбунів</t>
  </si>
  <si>
    <t>Здолбунівський район</t>
  </si>
  <si>
    <t>Капітальний ремонт вул. Шкільна в с. Вичівка Зарічненського району</t>
  </si>
  <si>
    <t>Зарічненський район</t>
  </si>
  <si>
    <t>Поточний ремонт вул. Зелена в с. Стовпець Дубенського району</t>
  </si>
  <si>
    <t>Капітальний ремонт вул.Українська в с.Семидуби Дубенського району</t>
  </si>
  <si>
    <t>Капітальний ремонт вул. Миру в с. Стовпець Дубенського району</t>
  </si>
  <si>
    <t>Капітальний ремонт вул. Зелена в с. Олибів Дубенського району</t>
  </si>
  <si>
    <t>Капітальний ремонт вул. Широка в с. Черешнівка Дубенського району</t>
  </si>
  <si>
    <t>Капітальний ремонт вул. Фермерська в с. Дубрівка Дубенського району</t>
  </si>
  <si>
    <t>Капітальний ремонт провул. Шкільний в в с. Плоска Дубенського району</t>
  </si>
  <si>
    <t>Капітальний ремонт вул. Шкільна в с. Іваннє Дубенського району</t>
  </si>
  <si>
    <t>Дубенський район</t>
  </si>
  <si>
    <t>Поточний ремонт  а/д по вул. Замкова в с. Рудка Демидівського району</t>
  </si>
  <si>
    <t xml:space="preserve">Капітальний ремонт а/д по вул. Б. Хмельницького в смт Демидівка </t>
  </si>
  <si>
    <t>Демидівський район</t>
  </si>
  <si>
    <t>Капітальний ремонт дороги по вул. Ювілейна  в с. Дроздів Гощанського району</t>
  </si>
  <si>
    <t>Капітальний ремонт дороги по вул. Тиха в с. Воскодави Гощанського району</t>
  </si>
  <si>
    <t>Капітальний ремонт дороги по вул. Новоселів в с. Чудниця Гощанського району</t>
  </si>
  <si>
    <t>Гощанський район</t>
  </si>
  <si>
    <t>Поточний ремонт дороги по вул. Л. Українки в с. Половлі Володимирецького району</t>
  </si>
  <si>
    <t>Капітальний ремонт дороги по вул. Босиха в с. Мульчиці Володимирецького району</t>
  </si>
  <si>
    <t>Капітальний ремонт дороги по вул. Науменка в с. Чудля Володимирецького району</t>
  </si>
  <si>
    <t>Капітальний ремонт дороги по вул. І. Франка в с. Любахи Володимирецького району</t>
  </si>
  <si>
    <t>Капітальний ремонт дороги по вул. Колгоспна в с. Каноничі Володимирецького району</t>
  </si>
  <si>
    <t>Капітальний ремонт дороги по вул. Колгоспна в с. Луко Володимирецького району</t>
  </si>
  <si>
    <t>Капітальний ремонт дороги по вул. Нова в с. Рудка Володимирецького району</t>
  </si>
  <si>
    <t>Володимирецький район</t>
  </si>
  <si>
    <t xml:space="preserve">Капітальний ремонт дорожнього покриття вул. Шевченка від відділення "Ощадбанку" до гаража  ДП "Соснівське лісове господарство"  смт Соснове Березнівського району </t>
  </si>
  <si>
    <t>Березнівський район</t>
  </si>
  <si>
    <t>Обласна частка субвенції</t>
  </si>
  <si>
    <t>Поточний ремонт дороги по вул. Гродненка в с. Глушиця Сарненського району</t>
  </si>
  <si>
    <t>Капітальний ремонт дороги по вул. Нова в с. Цепцевичі Сарненського району</t>
  </si>
  <si>
    <t>Капітальний ремонт дороги по вул. Миру в с. Чудель Сарненського району</t>
  </si>
  <si>
    <t>Капітальний ремонт по вул. Грушевського в с. Тинне  Сарненського району</t>
  </si>
  <si>
    <t>Капітальний ремонт дороги по вул. Зелена в смт Клесів  Сарненського району</t>
  </si>
  <si>
    <t>Капітальний ремонт  дороги по вул. Б.Хмельницького в с. Селище Сарненського району</t>
  </si>
  <si>
    <t>Капітальний ремонт дороги по вул. Лесі Українки від ПК0+230 до ПК0+593 в с. Кричильськ Сарненського району</t>
  </si>
  <si>
    <t>Капітальний ремонт дороги по вул. Буханського в с. Орлівка Сарненського району</t>
  </si>
  <si>
    <t>Капітальний ремонт дороги по вул. Жовтнева в с. Карпилівка Сарненського району</t>
  </si>
  <si>
    <t>Капітальний ремонт дороги по вул. Вишнева  в с. Велике Вербче Сарненського району</t>
  </si>
  <si>
    <t xml:space="preserve">Поточний ремонт дороги по вул.Тиха від будинку № 5 до будинку № 7а в с. Вежиця  Рокитнівського району  </t>
  </si>
  <si>
    <t xml:space="preserve">Поточний ремонт дороги по вул. Суворова в с. Карпилівка  Рокитнівського району </t>
  </si>
  <si>
    <t xml:space="preserve">Поточний ремонт дороги по вул. Медведєва в с. Будки-Сновидовицькі  Рокитнівського району </t>
  </si>
  <si>
    <t xml:space="preserve">Поточний ремонт дороги по вул. Першотравнева в с. Березове  Рокитнівського району </t>
  </si>
  <si>
    <t xml:space="preserve">Поточний ремонт дороги по вул. Настахівська в с. Глинне  Рокитнівського району </t>
  </si>
  <si>
    <t xml:space="preserve">Поточний ремонт дороги по вул. Набережна в с.  Борове  Рокитнівського району </t>
  </si>
  <si>
    <t xml:space="preserve">Поточний ремонт дороги по вул. Кузнецова в с. Біловіж  Рокитнівського району </t>
  </si>
  <si>
    <t xml:space="preserve">Капітальний ремонт дороги по вул. Лісова в с. Дроздинь  Рокитнівського району </t>
  </si>
  <si>
    <t>Капітальний ремонт дороги по вул. Ясна в с. Карпилівка Рокитнівського району</t>
  </si>
  <si>
    <t xml:space="preserve">Капітальний ремонт дороги по вул. Пушкіна в с. Остки   Рокитнівського району </t>
  </si>
  <si>
    <t xml:space="preserve">Капітальний ремонт дороги по вул. Гагаріна в с. Томашгород  Рокитнівського району </t>
  </si>
  <si>
    <t xml:space="preserve">Капітальний ремонт дороги по вул. Нова в с. Дерть  Рокитнівського району </t>
  </si>
  <si>
    <t xml:space="preserve">Капітальний ремонт дороги по вул. Білоруська в с.Познань Рокитнівського району </t>
  </si>
  <si>
    <t xml:space="preserve">Капітальний ремонт дороги по вул. Зарічна,с. Біловіж Рокитнівського району </t>
  </si>
  <si>
    <t>Поточний ремонт вул. Енергетиків в с. Вересневе Рівненського району</t>
  </si>
  <si>
    <t>Поточний ремонт вул. Коцюбинського в с. Рогачів Рівненського району</t>
  </si>
  <si>
    <t>Капітальний ремонт вул. Партизанська в смт Клевань Рівненського району</t>
  </si>
  <si>
    <t>Капітальний ремонт вул. Слов'янська в смт Клевань Рівненського району</t>
  </si>
  <si>
    <t>Капітальний ремонт вул. І.Франка в смт Клевань Рівненського району</t>
  </si>
  <si>
    <t>Капітальний ремонт вул. Заводська в смт Клевань Рівненського району</t>
  </si>
  <si>
    <t>Капітальний ремонт вул. Біла в с. Шпанів Рівненського району</t>
  </si>
  <si>
    <t>Капітальний ремонт вул. Дружба в с. Козлин Рівненського району</t>
  </si>
  <si>
    <t>Капітальний ремонт вул. Шевченка в с. Загороща Рівненського району</t>
  </si>
  <si>
    <t>Капітальний ремонт вул. Л.Українки в с. Грабів Рівненського району</t>
  </si>
  <si>
    <t>Капітальний ремонт вул. Котляревського в с. Зоря Рівненського району</t>
  </si>
  <si>
    <t>Капітальний ремонт вул. 50-річчя Возз’єднання в с. Зоря Рівненського району</t>
  </si>
  <si>
    <t>Капітальний ремонт вул. Радгоспна в с. Біла Криниця Рівненського району</t>
  </si>
  <si>
    <t xml:space="preserve">Поточний ремонт дороги по пров. Короткий в с. Гоноратка  Радивилівського району </t>
  </si>
  <si>
    <t>Поточний ремонт дороги по вул. Максима Кривоноса в с. Солонів Радивилівського району</t>
  </si>
  <si>
    <t>Капітальний ремонт дороги по вул. Шевченка в с. Михайлівка  Радивилівського району</t>
  </si>
  <si>
    <t>Капітальний ремонт дороги по вул. 1 Травня в с. Козин  Радивилівського району</t>
  </si>
  <si>
    <t>Капітальний ремонт дороги по вул. Довга в с. Крупець  Радивилівського району</t>
  </si>
  <si>
    <t>Поточний ремонт вул. А.Якимчука, с. Війниця Млинівського району</t>
  </si>
  <si>
    <t xml:space="preserve">Поточний ремонт вул. Я.Мудрого, смт Млинів
</t>
  </si>
  <si>
    <t>Капітальний ремонт вул.Молодіжна в с.Маща Костопільського району</t>
  </si>
  <si>
    <t>Поточний ремонт вул. Кухарчука в с. Пісків Костопільського району</t>
  </si>
  <si>
    <t>Поточний ремонт вул. Жовтнева в с. Пеньків Костопільського району</t>
  </si>
  <si>
    <t>Поточний ремонт вул. Шевченка в с. Олександрівка Костопільського району</t>
  </si>
  <si>
    <t>Капітальний ремонт дорожнього покриття на вул. Ватутіна в м. Здолбунів</t>
  </si>
  <si>
    <t>Поточний ремонт вул. Поліська  в с. Омит Зарічненського району</t>
  </si>
  <si>
    <t>Капітальний ремонт вул. Центральна в смт Зарічне</t>
  </si>
  <si>
    <t>Капітальний ремонт  вул. Березова з перехрестям вул. Нова в м. Дубровиця</t>
  </si>
  <si>
    <t>Дубровицький район</t>
  </si>
  <si>
    <t xml:space="preserve">Поточний ремонт вул. Меліораторів в с. Бортниця Дубенського району
</t>
  </si>
  <si>
    <t xml:space="preserve">Капітальний  ремонт вул. Українська в с. Семидуби Дубенського району
</t>
  </si>
  <si>
    <t>Капітальний ремонт вул. Квітнева  в с. Дубрівка Дубенського району</t>
  </si>
  <si>
    <t>Капітальний ремонт вул. Шевченка в с. Липа Дубенського району</t>
  </si>
  <si>
    <t xml:space="preserve">Капітальний ремонт вул. Кученкова в с. Гірники Дубенського району
</t>
  </si>
  <si>
    <t>Капітальний ремонт вул. Центральна  в с. Білогородка Дубенського району</t>
  </si>
  <si>
    <t xml:space="preserve">Капітальний ремонт вул. Сільська в с. Варковичі Дубенського району
</t>
  </si>
  <si>
    <t>Поточний ремонт а/д по вул. Молодіжна в с. Ільпибоки Демидівського району</t>
  </si>
  <si>
    <t>Капітальний ремонт а/д по вул. Набережній в смт Демидівка</t>
  </si>
  <si>
    <t>Капітальний ремонт дороги по  вул. Островського в смт Гоща</t>
  </si>
  <si>
    <t>Поточний ремонт дороги по вул. Паркова в с. Антонівка Володимирецького району</t>
  </si>
  <si>
    <t>Капітальний ремонт дороги по вул. Центральна в  с. Журавлине Володимирецького району</t>
  </si>
  <si>
    <t>Капітальний ремонт дороги по вул. Б.Хмельницького в с. Великі Цепцевичі Володимирецького району</t>
  </si>
  <si>
    <t xml:space="preserve">Капітальний ремонт дороги по вул. Соборна в смт Володимирець </t>
  </si>
  <si>
    <t>Капітальний ремонт вул. Кузнєцова  с. Хотин Березнівського району</t>
  </si>
  <si>
    <t>Капітальний ремонт вул. Поліська  с. Хотин Березнівського району</t>
  </si>
  <si>
    <t>Капітальний ремонт вул. Зірненська в с. Зірне Березнівського району</t>
  </si>
  <si>
    <t xml:space="preserve">Капітальний ремонт вул. Нова в с. Городище Березнівського району </t>
  </si>
  <si>
    <t xml:space="preserve">Капітальний ремонт дорожнього покриття вул. Шевченка від відділення "Ощадбанку" до гаража ДП "Соснівське лісове господарство" смт Соснове Березнівського району </t>
  </si>
  <si>
    <t>Капітальний ремонт дороги по вул.Дуліби в м.Острог</t>
  </si>
  <si>
    <t>Капітальний ремонт дороги по вулиці Сагайдачного в м.Острог</t>
  </si>
  <si>
    <t>м.Острог</t>
  </si>
  <si>
    <t>Поточний ремонт вул.Сурмичі, м.Дубно</t>
  </si>
  <si>
    <t>Капітальний ремонт вул.Страклівської в м.Дубно</t>
  </si>
  <si>
    <t>м.Дубно</t>
  </si>
  <si>
    <t>Районна частка субвенції</t>
  </si>
  <si>
    <t>не зареєстровано</t>
  </si>
  <si>
    <t>виконання</t>
  </si>
  <si>
    <t>Кредиторська заборгованість
станом на 01.01.2014</t>
  </si>
  <si>
    <t>Залишок</t>
  </si>
  <si>
    <t>Касові видатки</t>
  </si>
  <si>
    <t>Профінан-совано</t>
  </si>
  <si>
    <t>Всього видатків на 2013рік</t>
  </si>
  <si>
    <t xml:space="preserve">№ </t>
  </si>
  <si>
    <t xml:space="preserve"> Перелік об҆ єктів, 
що фінансуватимуться за рахунок коштів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пунктах, по яких утворилась заборгованість за виконані роботи у 2013 році</t>
  </si>
  <si>
    <r>
      <t xml:space="preserve">від </t>
    </r>
    <r>
      <rPr>
        <u val="single"/>
        <sz val="12"/>
        <rFont val="Times New Roman"/>
        <family val="1"/>
      </rPr>
      <t>04 лютого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року №</t>
    </r>
    <r>
      <rPr>
        <u val="single"/>
        <sz val="12"/>
        <rFont val="Times New Roman"/>
        <family val="1"/>
      </rPr>
      <t>1130</t>
    </r>
    <r>
      <rPr>
        <sz val="12"/>
        <rFont val="Times New Roman"/>
        <family val="1"/>
      </rPr>
      <t xml:space="preserve">          </t>
    </r>
  </si>
  <si>
    <t xml:space="preserve">Додаток 9  </t>
  </si>
  <si>
    <t xml:space="preserve">Всього, в тому числі: </t>
  </si>
  <si>
    <t>Капітальний ремонт ділянки вул. Ботанічної в м. Рівне</t>
  </si>
  <si>
    <t>Капітальний ремонт вул. Грунтова в м. Рівне</t>
  </si>
  <si>
    <t>Капітальний ремонт вул. Гостинна в м. Рівне</t>
  </si>
  <si>
    <t>Капітальний ремонт ділянки вул. Приходька (від вул. Відінська до вул. Осіпова) в м. Рівне</t>
  </si>
  <si>
    <t>м.Рівне</t>
  </si>
  <si>
    <t>Капітальний ремонт дороги по вул. Центральна в смт Клесів Сарненського району</t>
  </si>
  <si>
    <t>Поточний ремонт вул. Тиха в с.Тайкури Рівненського району</t>
  </si>
  <si>
    <t>Поточний ремонт вул. Грушева в с. Новостав Дальній Рівненського району</t>
  </si>
  <si>
    <t>Поточний ремонт вул. Садова в с.Сухівці Рівненського району</t>
  </si>
  <si>
    <t>Поточний ремонт вул. Зарічна в с.Кустин Рівненського району</t>
  </si>
  <si>
    <t>Поточний ремонт вул. Весела в с. Забороль Рівненського району</t>
  </si>
  <si>
    <t>Поточний ремонт вул. Коротка в с. Іскра Рівненського району</t>
  </si>
  <si>
    <t>Поточний ремонт вул. Польова в с. Великий Житин Рівненського району</t>
  </si>
  <si>
    <t>Поточний ремонт вул. Рольщикова та пров. Рольщикова в с.Велика Омеляна Рівненського району</t>
  </si>
  <si>
    <t>Поточний ремонт вул. Незалежності в с. Великий Житин Рівненського району</t>
  </si>
  <si>
    <t>Поточний ремонт вул. Шкільна в с. Бронники Рівненського району</t>
  </si>
  <si>
    <t>Капітальний ремонт вул. Заводська в смт Оржів Рівненського району</t>
  </si>
  <si>
    <t>Капітальний ремонт дороги по вул. І. Франка в смт Оржів Рівненського району</t>
  </si>
  <si>
    <t>Поточний ремонт дороги по вул. Галана в м. Радивилів</t>
  </si>
  <si>
    <t xml:space="preserve">Поточний ремонт дороги по вул. Довбуша в м. Радивилів </t>
  </si>
  <si>
    <t>Поточний ремонт дороги по вул. Садова  с. Пляшівка Радивилівського району</t>
  </si>
  <si>
    <t>Поточний ремонт дороги по вул. Польова  с. Коритне Радивилівського району</t>
  </si>
  <si>
    <t>Поточний ремонт дороги по вул. Лесі Українки в с. Гайки - Ситенські Радивилівського району</t>
  </si>
  <si>
    <t>Поточний ремонт дороги по вул. Богдана Хмельницького в с. Острів Радивилівського району</t>
  </si>
  <si>
    <t>Поточний ремонт дороги по вул. Балки в с. Балки Радивилівського району</t>
  </si>
  <si>
    <t>Капітальний ремонт вулиці І.Франка в м. Радивилів</t>
  </si>
  <si>
    <t>Поточний ремонт по вул. Підлісок в с. Теремне Острозького району</t>
  </si>
  <si>
    <t>Поточний ремонт по вул. Польова в с. Вілія Острозького району</t>
  </si>
  <si>
    <t>Поточний ремонт вул. Ковпака в с. Малин Млинівського району</t>
  </si>
  <si>
    <t>Поточний ремонт вул. Загребельна в с. Ярославичі Млинівського району</t>
  </si>
  <si>
    <t>Поточний ремонт вул. Лісова в с. Яловичі Млинівського району</t>
  </si>
  <si>
    <t>Поточний ремонт вул. Центральна в с. Тушебин Млинівського району</t>
  </si>
  <si>
    <t>Поточний ремонт вул. Шевченка в с. Новосілки Млинівського району</t>
  </si>
  <si>
    <t>Поточний ремонт вул. Шкільна в с. Красне Млинівського району</t>
  </si>
  <si>
    <t>Поточний ремонт вул. Набережна в с. Надчиці Млинівського району</t>
  </si>
  <si>
    <t>Капітальний ремонт вул. Тиха  с. Мошків Млинівського району</t>
  </si>
  <si>
    <t>Поточний ремонт вул. Центральна в с. Мала Любаша Костопільського району</t>
  </si>
  <si>
    <t>Поточний ремонт вул. Молодіжна в с. Мала Любаша Костопільського району</t>
  </si>
  <si>
    <t xml:space="preserve">Капітальний  ремонт вул. Б.Хмельницького в с. Деражне Костопільського району
</t>
  </si>
  <si>
    <t>Капітальний ремонт вул. Нова та вул. Ковалівська в с. Сапожин Корецького району</t>
  </si>
  <si>
    <t xml:space="preserve">Поточний ремонт вул. Субураївка в с. Івачків Здолбунівського району </t>
  </si>
  <si>
    <t>Поточний ремонт вул. Лісова в с. Білашів Здолбунівського району</t>
  </si>
  <si>
    <t>Поточний ремонт вул. Чапаєва в с. Нараїв Дубенського району</t>
  </si>
  <si>
    <t>Поточний ремонт вул. Тараса Шевченка в с. Княгинин Дубенського району</t>
  </si>
  <si>
    <t>Поточний ремонт вул. Центральна в с. Кам"яна Верба Дубенського району</t>
  </si>
  <si>
    <t>Поточний ремонт вул. Сагайдачного в с. Верба Дубенського району</t>
  </si>
  <si>
    <t xml:space="preserve">Капітальний ремонт а/д по вул. Набережній в смт Демидівка  </t>
  </si>
  <si>
    <t>Капітальний ремонт автодороги Лисин - Товпижин - "Т-18-06" км 4 + 800 - км 8 + 900</t>
  </si>
  <si>
    <t>Капітальний ремонт автодороги по вул. 17 Вересня в смт Демидівка</t>
  </si>
  <si>
    <t>Поточний ремонт вул. Зарічна в с. Синів Гощанського району</t>
  </si>
  <si>
    <t>Поточний ремонт дороги по вул.М.Дацюка в с. Жаврів Гощанського району</t>
  </si>
  <si>
    <t>Поточний ремонт дороги по вул.Мирна в с. Горбаків Гощанського району</t>
  </si>
  <si>
    <t>Поточний ремонт дороги по вул.Набережна в с. Мнишин Гощанського району</t>
  </si>
  <si>
    <t>Капітальний ремонт дороги по вул. Надстав в с. Симонів  Гощанського району</t>
  </si>
  <si>
    <t>Капітальний ремонт дороги між с. Ясне та с. Сергіївка  Гощанського району</t>
  </si>
  <si>
    <t>Капітальний ремонт дороги по вул. Першотравнева в с. Бочаниця Гощанського району</t>
  </si>
  <si>
    <t>Капітальний ремонт дороги по вул. Шкільна в с. Вільгір  Гощанського району</t>
  </si>
  <si>
    <t>Капітальний ремонт дороги по вул.Набережна в с. Новоставці Гощанського району</t>
  </si>
  <si>
    <t>Капітальний ремонт дорожнього покриття вул. Ціолковського, м. Березне</t>
  </si>
  <si>
    <t>Не зареєстровано</t>
  </si>
  <si>
    <t>Назва об ҆єкта</t>
  </si>
  <si>
    <t xml:space="preserve"> Перелік об҆ єктів 
будівництва, реконструкції, ремонту та утримання автомобільних доріг області 
за рахунок коштів спеціального фонду обласного бюджету, по яких утворилася заборгованість
 за виконані роботи у 2013 році</t>
  </si>
  <si>
    <t xml:space="preserve">Додаток 10  </t>
  </si>
  <si>
    <t xml:space="preserve">Всього </t>
  </si>
  <si>
    <t>Інші субвенції (Програма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</t>
  </si>
  <si>
    <t>Видатки на запобігання та ліквідацію надзвичайних ситуацій та наслідків стихійного лиха </t>
  </si>
  <si>
    <t>внески у статутний капітал ОКП "Міжнародний аеропорт Рівне" Рівненської обласної ради</t>
  </si>
  <si>
    <t>внески у статутний капітал КП "Автобаза" Рівненської обласної ради</t>
  </si>
  <si>
    <t>Управління інфраструктури та промисловості  облдержадміністрації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</si>
  <si>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</si>
  <si>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внески у статутний капітал РОВКП ВКГ "Рівнеоблводоканал"</t>
  </si>
  <si>
    <t>Бiблiотеки</t>
  </si>
  <si>
    <t>110201</t>
  </si>
  <si>
    <t>Управління культури і туризму облдержадміністрації</t>
  </si>
  <si>
    <t>Обробка інформації з нарахування та виплати допомог і компенсацій</t>
  </si>
  <si>
    <t>091212</t>
  </si>
  <si>
    <t>Центри соціальної реабілітації дітей - інвалідів; центри професійної реабілітації інвалідів </t>
  </si>
  <si>
    <t>091206 </t>
  </si>
  <si>
    <t>Будинки-iнтернати (пансіонати) для літніх людей та iнвалiдiв системи соцiального захисту</t>
  </si>
  <si>
    <t>090901</t>
  </si>
  <si>
    <t>Будинки- інтернати для малолітніх інвалідів</t>
  </si>
  <si>
    <t>090601</t>
  </si>
  <si>
    <t>Бiблiотеки (медична бібліотека)</t>
  </si>
  <si>
    <t>Інші заходи по охороні здоров'я</t>
  </si>
  <si>
    <t>081002</t>
  </si>
  <si>
    <t>Центри екстреної медичної допомоги та медицини катастроф, станції екстреної (швидкої) медичної допомоги</t>
  </si>
  <si>
    <t>080209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</si>
  <si>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</si>
  <si>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080201</t>
  </si>
  <si>
    <t>Вищі навчальні заклади І та ІІ рівнів акредитації</t>
  </si>
  <si>
    <t>070601</t>
  </si>
  <si>
    <t>Управління охорони здоров’я  облдержадміністрації</t>
  </si>
  <si>
    <t>14</t>
  </si>
  <si>
    <t>130114 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</si>
  <si>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</si>
  <si>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шкіл</t>
  </si>
  <si>
    <t>130107</t>
  </si>
  <si>
    <t>Інші заклади освіти </t>
  </si>
  <si>
    <t>070806 </t>
  </si>
  <si>
    <t>Групи централізованого господарського обслуговування</t>
  </si>
  <si>
    <t>070805</t>
  </si>
  <si>
    <t xml:space="preserve">Централізовані бухгалтерії обласних, міських, районних відділів освіти 
</t>
  </si>
  <si>
    <t>070804</t>
  </si>
  <si>
    <t>Заклади післядипломної освіти III-IV рівнів акредитації</t>
  </si>
  <si>
    <t>070701</t>
  </si>
  <si>
    <t>Професійно-технічні заклади освіти </t>
  </si>
  <si>
    <t>070501</t>
  </si>
  <si>
    <t>Позашкільні  заклади освіти,  заходи із позашкільної роботи з дітьми</t>
  </si>
  <si>
    <t>070401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</si>
  <si>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</si>
  <si>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070307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</si>
  <si>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</si>
  <si>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070304</t>
  </si>
  <si>
    <t>Загальноосвітні школи-інтернати, загальноосвітні санаторні школи-інтернати </t>
  </si>
  <si>
    <t>070301</t>
  </si>
  <si>
    <t>Інші установи та заклади (Обласна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</si>
  <si>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091214 </t>
  </si>
  <si>
    <t>внески у статутний капітал КП  "Управління майновим комплексом" Рівненської обласної ради</t>
  </si>
  <si>
    <t>Інші субвенції (на створення центру адміністративних послуг в м.Острог- виконання будівельних робіт з капітального ремонту адміністративного приміщення по вул.Кривоноса,32 в м.Острог)</t>
  </si>
  <si>
    <t>Реконструкція дитячого садка на 3 групи в с.Великий Житин Рівненського району (за рахунок залишку коштів на 01.01.2014 іншої субвенції з районного бюджету  Рівненського району)</t>
  </si>
  <si>
    <t>Капiтальнi вкладення</t>
  </si>
  <si>
    <t>Обласний центр екстреної медичної допомоги та медицини катастроф в  м. Рівне по вул. Котляревського, 5 - реконструкція (в т.ч. проектно-кошторисна документація)</t>
  </si>
  <si>
    <t>Центральна районна лікарня всмт Рокитне Рівненської області. Терапевтичний корпус (другий пусковий комплекс) – будівництво (в т.ч. виготовлення проектно-кошторисної документації)</t>
  </si>
  <si>
    <t xml:space="preserve">Реконструкція площі Незалежності  м.Радивилів (в т.ч. проектно-кошторисна документація)  </t>
  </si>
  <si>
    <r>
      <t>Реконструкція комунального закладу «Радивилівська дитяча школа мистецтв» Радивилівської районної ради  (в т.ч. проектно-кошторисна документація)</t>
    </r>
    <r>
      <rPr>
        <b/>
        <sz val="12"/>
        <color indexed="8"/>
        <rFont val="Times New Roman"/>
        <family val="1"/>
      </rPr>
      <t xml:space="preserve"> </t>
    </r>
  </si>
  <si>
    <t>Реконструкція водопроводу в с. Сіянці Острозького району</t>
  </si>
  <si>
    <t>Будівництво НВК по вул. Шкільній, 11 в с. Борбин Млинівського району  (в т.ч. виготовлення проектно-кошторисної документації)</t>
  </si>
  <si>
    <t xml:space="preserve">Будівництво початкової школи  в с.Корчин, вул.Лісова, Костопільського району </t>
  </si>
  <si>
    <t>Реконструкція будинку культури в с. Великий Мидськ  Костопільського району (в т.ч. проектно-кошторисна документація)</t>
  </si>
  <si>
    <t>Реконструкція незавершеного будівництва загальноосвітньої школи І ступеня під навчально-виховний комплекс "Дошкільний навчальний заклад-загальноосвітня школа І ступеня" в с.Калинівка Корецького району (в т.ч. коригування проектно-кошторисної документації)</t>
  </si>
  <si>
    <t>Реконструкція школи в с. Користь Корецького району (система опалення)</t>
  </si>
  <si>
    <t>Середня школа на 834 учнівських місця по вул. Харківця в смт Зарічне - будівництво</t>
  </si>
  <si>
    <t>Реконструкція системи водопостачання в смт Демидівка  (в т.ч. проектно-кошторисна документація)</t>
  </si>
  <si>
    <t>Загальноосвітня школа І-ІІІ ступенів в с.Степангород  Володимирецького району - будівництво (в т.ч. проектно-кошторисна документація</t>
  </si>
  <si>
    <t>Погашення кредиторської заборгованості за 2013 рік</t>
  </si>
  <si>
    <t>нерозподілений резерв за рахунок залишку коштів бюджету розвитку станом на 01.01.2014</t>
  </si>
  <si>
    <r>
      <t>Реконструкція поліклініки комунального закладу "Володимирецька центральна районна лікарня" під лікувальний корпус по вул.Грушевського, 39 в смт  Володимирець</t>
    </r>
    <r>
      <rPr>
        <b/>
        <i/>
        <sz val="13"/>
        <rFont val="Times New Roman"/>
        <family val="1"/>
      </rPr>
      <t xml:space="preserve"> (за рахунок субвенції з Володимирецького району)</t>
    </r>
  </si>
  <si>
    <r>
      <t>Реконструкція поліклініки комунального закладу "Володимирецька центральна районна лікарня" під лікувальний корпус по вул. Грушевського, 39 в смт Володимирець Рівненської області</t>
    </r>
    <r>
      <rPr>
        <b/>
        <i/>
        <sz val="13"/>
        <rFont val="Times New Roman"/>
        <family val="1"/>
      </rPr>
      <t xml:space="preserve"> (за рахунок обласного бюджету)</t>
    </r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</si>
  <si>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 , з них</t>
  </si>
  <si>
    <t>Код тимчасової класифікації видатків та кредитування місцевих бюджетів</t>
  </si>
  <si>
    <t>Разом видатків на поточний рік</t>
  </si>
  <si>
    <t xml:space="preserve">Всього видатків на  завершення будівництва об'єктів на майбутні роки </t>
  </si>
  <si>
    <t xml:space="preserve">Відсоток завершеності будівництва об'єктів на майбутні роки </t>
  </si>
  <si>
    <t>Загальний обсяг фінансування будівництва</t>
  </si>
  <si>
    <t>Назва об'єктів відповідно до проектно-кошторисної документації, тощо</t>
  </si>
  <si>
    <t xml:space="preserve">Зміни до переліку об’єктів,
видатки на які у 2014 році будуть здійснюватися
за рахунок коштів бюджету розвитку обласного бюджету 
</t>
  </si>
  <si>
    <t>до рішення Рівненської  обласної ради</t>
  </si>
  <si>
    <t>Додаток № 6</t>
  </si>
  <si>
    <t>Всього за типом боргового зобов'язання</t>
  </si>
  <si>
    <t>Кошти, що передаються із загального фонду бюджету до бюджету розвитку (спеціального фонду) </t>
  </si>
  <si>
    <t>602400 </t>
  </si>
  <si>
    <t>На початок періоду </t>
  </si>
  <si>
    <t>602100 </t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</si>
  <si>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</si>
  <si>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r>
      <t>602000</t>
    </r>
    <r>
      <rPr>
        <sz val="12"/>
        <color indexed="8"/>
        <rFont val="Times New Roman"/>
        <family val="1"/>
      </rPr>
      <t> </t>
    </r>
  </si>
  <si>
    <t>Фінансування за активними операціями</t>
  </si>
  <si>
    <t>600000</t>
  </si>
  <si>
    <t>Всього за типом кредитора</t>
  </si>
  <si>
    <t>208400 </t>
  </si>
  <si>
    <t>На початок періоду</t>
  </si>
  <si>
    <t>Фінансування за рахунок зміни залишків коштів бюджетів</t>
  </si>
  <si>
    <t>Внутрішнє фінансування</t>
  </si>
  <si>
    <t>200000</t>
  </si>
  <si>
    <t>у т.ч. бюджет розвитку</t>
  </si>
  <si>
    <t>Разом</t>
  </si>
  <si>
    <t>РАЗОМ</t>
  </si>
  <si>
    <t>Спеціальний фонд</t>
  </si>
  <si>
    <t>Загальний фонд</t>
  </si>
  <si>
    <t>Назва</t>
  </si>
  <si>
    <t xml:space="preserve">Код </t>
  </si>
  <si>
    <t>Джерела фінансування обласного бюджету на 2014 рік</t>
  </si>
  <si>
    <r>
      <t xml:space="preserve"> від </t>
    </r>
    <r>
      <rPr>
        <u val="single"/>
        <sz val="11"/>
        <rFont val="Times New Roman"/>
        <family val="1"/>
      </rPr>
      <t>04 лютого</t>
    </r>
    <r>
      <rPr>
        <sz val="11"/>
        <rFont val="Times New Roman"/>
        <family val="1"/>
      </rPr>
      <t xml:space="preserve"> 20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року  №</t>
    </r>
    <r>
      <rPr>
        <u val="single"/>
        <sz val="11"/>
        <rFont val="Times New Roman"/>
        <family val="1"/>
      </rPr>
      <t>1130</t>
    </r>
  </si>
  <si>
    <t xml:space="preserve">     Додаток  5</t>
  </si>
  <si>
    <t xml:space="preserve">                        Перший заступник голови обласної ради</t>
  </si>
  <si>
    <t>250903 </t>
  </si>
  <si>
    <t xml:space="preserve"> Cпеціальний фонд</t>
  </si>
  <si>
    <t>Кредитування - всього</t>
  </si>
  <si>
    <t>Повернення кредитів</t>
  </si>
  <si>
    <t>Надання кредитів</t>
  </si>
  <si>
    <t>( грн.)</t>
  </si>
  <si>
    <t xml:space="preserve">Зміни до повернення кредитів до обласного бюджету та надання кредитів з обласного бюджету на 2014 рік </t>
  </si>
  <si>
    <r>
      <t xml:space="preserve">від </t>
    </r>
    <r>
      <rPr>
        <u val="single"/>
        <sz val="11"/>
        <rFont val="Times New Roman"/>
        <family val="1"/>
      </rPr>
      <t>04 лютого</t>
    </r>
    <r>
      <rPr>
        <sz val="11"/>
        <rFont val="Times New Roman"/>
        <family val="1"/>
      </rPr>
      <t xml:space="preserve"> 20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року №</t>
    </r>
    <r>
      <rPr>
        <u val="single"/>
        <sz val="11"/>
        <rFont val="Times New Roman"/>
        <family val="1"/>
      </rPr>
      <t>1130</t>
    </r>
  </si>
  <si>
    <t xml:space="preserve">до рішення Рівненської обласної ради </t>
  </si>
  <si>
    <t>Додаток 4</t>
  </si>
  <si>
    <t xml:space="preserve">Перший заступник голови обласної ради                                                          </t>
  </si>
  <si>
    <t>ВСЬОГО по бюджету області</t>
  </si>
  <si>
    <t>Обласний бюджет</t>
  </si>
  <si>
    <t>Разом по бюджетах районів і міст обласного значення</t>
  </si>
  <si>
    <t xml:space="preserve">Разом по бюджетах районів </t>
  </si>
  <si>
    <t>17316000000</t>
  </si>
  <si>
    <t>17315000000</t>
  </si>
  <si>
    <t>17314000000</t>
  </si>
  <si>
    <t>17313000000</t>
  </si>
  <si>
    <t>17312000000</t>
  </si>
  <si>
    <t>17311000000</t>
  </si>
  <si>
    <t>17310000000</t>
  </si>
  <si>
    <t>17309000000</t>
  </si>
  <si>
    <t>17308000000</t>
  </si>
  <si>
    <t>17307000000</t>
  </si>
  <si>
    <t>17306000000</t>
  </si>
  <si>
    <t>17305000000</t>
  </si>
  <si>
    <t>17304000000</t>
  </si>
  <si>
    <t>17303000000</t>
  </si>
  <si>
    <t xml:space="preserve">Володимирецький район </t>
  </si>
  <si>
    <t>17302000000</t>
  </si>
  <si>
    <t>17301000000</t>
  </si>
  <si>
    <t>Разом по бюджетах  міст обласного значення</t>
  </si>
  <si>
    <t>м. Кузнецовськ</t>
  </si>
  <si>
    <t>м. Дубно</t>
  </si>
  <si>
    <t>м. Рiвне</t>
  </si>
  <si>
    <t>програму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</t>
  </si>
  <si>
    <t>виконання заходу "Забезпечення екологічно безпечного перевезення та утилізації відпрацьованих люмінесцентних ламп в с.Шубків Рівненського району"</t>
  </si>
  <si>
    <t>виконання програми електрифікації новозбудованих вулиць сільських населених пунктів області на період до 2015 року</t>
  </si>
  <si>
    <t>створення центру адміністративних послуг в м.Острог - виконання будівельних робіт з капітального ремонту адміністративного приміщення по вул.Кривоноса,32 в м.Острог</t>
  </si>
  <si>
    <t>поточний ремонт території братської могили с.Малин Млинівського району</t>
  </si>
  <si>
    <t xml:space="preserve">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</si>
  <si>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>Інші субвенції з обласного бюджету на:</t>
  </si>
  <si>
    <t xml:space="preserve"> Інші субвенції з обласного бюджету на:</t>
  </si>
  <si>
    <t>Міжбюджетні трансферти</t>
  </si>
  <si>
    <t xml:space="preserve">Назва місцевого бюджету адміністративно-територіальної одиниці  </t>
  </si>
  <si>
    <t>шифр</t>
  </si>
  <si>
    <t>Код бюджету</t>
  </si>
  <si>
    <t>(грн)</t>
  </si>
  <si>
    <t>Зміни показників міжбюджетних трансфертів між державним бюджетом, обласним бюджетом та іншими бюджетами на 2014 рік</t>
  </si>
  <si>
    <r>
      <t>від г04 лютого 20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року №</t>
    </r>
    <r>
      <rPr>
        <u val="single"/>
        <sz val="10"/>
        <rFont val="Times New Roman"/>
        <family val="1"/>
      </rPr>
      <t>1130</t>
    </r>
  </si>
  <si>
    <t>Додаток № 3</t>
  </si>
  <si>
    <t>7618800</t>
  </si>
  <si>
    <t>Інші субвенції (на виконання заходу"Забезпечення екологічно безпечного перевезення та утилізації відпрацьованих люмінесцентних ламп в с.Шубків Рівненського району")</t>
  </si>
  <si>
    <t>6018800</t>
  </si>
  <si>
    <t>Департамент екології та природних ресурсів облдержадміністрації</t>
  </si>
  <si>
    <t>60</t>
  </si>
  <si>
    <t>6010000</t>
  </si>
  <si>
    <t>6000000</t>
  </si>
  <si>
    <t>Інші субвенції (на  виконання комплексної програми забезпечення містобудівною документацією населених пунктів та територій Рівненської області на 2011-2015 роки)</t>
  </si>
  <si>
    <t>4718800</t>
  </si>
  <si>
    <t>Інші субвенції (Млинівському районному бюджету на поточний ремонт території братської могили с.Малин Млинівського району)</t>
  </si>
  <si>
    <t>4018800</t>
  </si>
  <si>
    <t>4010000</t>
  </si>
  <si>
    <t>4000000</t>
  </si>
  <si>
    <t>РАЗОМ ВИДАТКІВ</t>
  </si>
  <si>
    <t>7318600</t>
  </si>
  <si>
    <t>7317501</t>
  </si>
  <si>
    <t>Сприяння розвитку малого та середнього  підприємництва</t>
  </si>
  <si>
    <t>7317440</t>
  </si>
  <si>
    <t>Організація рятування на водах</t>
  </si>
  <si>
    <t>6717820</t>
  </si>
  <si>
    <t>Видатки на запобігання та ліквідацію надзвичайних ситуацій та наслідків стихійного лиха</t>
  </si>
  <si>
    <t>6717810</t>
  </si>
  <si>
    <t>Субвенція з місцевого бюджету державному бюджету на виконання програм соціально-економічного та культурного розвитку регіонів (на виконання заходу "Розробка проектно-кошторисної документації на роботи з реконструкції каналізаційних очисних споруд Полицької виправної колонії управління Державної пенітенціарної служби України в Рівненській області (№76)")</t>
  </si>
  <si>
    <t>250344</t>
  </si>
  <si>
    <t>6018390</t>
  </si>
  <si>
    <t>Інша діяльність у сфері охорони навколишнього природного середовища </t>
  </si>
  <si>
    <t>240604 </t>
  </si>
  <si>
    <t>6019140</t>
  </si>
  <si>
    <t>Утилізація відходів </t>
  </si>
  <si>
    <t>240602 </t>
  </si>
  <si>
    <t>6019120</t>
  </si>
  <si>
    <t>Охорона та раціональне використання природних ресурсів</t>
  </si>
  <si>
    <t>6019110</t>
  </si>
  <si>
    <t>Охорона і раціональне використання земель </t>
  </si>
  <si>
    <t>200200</t>
  </si>
  <si>
    <t>5317612</t>
  </si>
  <si>
    <t>Внески до статутного капіталу суб’єктів господарювання</t>
  </si>
  <si>
    <t>180409</t>
  </si>
  <si>
    <t>5117460</t>
  </si>
  <si>
    <t>5110000</t>
  </si>
  <si>
    <t>5100000</t>
  </si>
  <si>
    <t>Ліквідація іншого забруднення навколишнього природного середовища </t>
  </si>
  <si>
    <t>240603 </t>
  </si>
  <si>
    <t>4719110</t>
  </si>
  <si>
    <t>Утримання та розвиток інфраструктури доріг</t>
  </si>
  <si>
    <t>4716650</t>
  </si>
  <si>
    <t>Реалізація заходів щодо інвестиційного розвитку територій</t>
  </si>
  <si>
    <t>150101</t>
  </si>
  <si>
    <t>4017460</t>
  </si>
  <si>
    <t>2418600</t>
  </si>
  <si>
    <t>Iншi культурно-освiтнi заклади та заходи</t>
  </si>
  <si>
    <t>110502</t>
  </si>
  <si>
    <t>2414800</t>
  </si>
  <si>
    <t>Палаци i будинки культури, клуби та iншi заклади клубного типу</t>
  </si>
  <si>
    <t>110204</t>
  </si>
  <si>
    <t>Заповiдники</t>
  </si>
  <si>
    <t>110203</t>
  </si>
  <si>
    <t>Музеї i виставки</t>
  </si>
  <si>
    <t>110202</t>
  </si>
  <si>
    <t>Утримання закладів, що надають соціальні послуги дітям, які опинились у складних життєвих обставинах</t>
  </si>
  <si>
    <t>090700</t>
  </si>
  <si>
    <t>2013111</t>
  </si>
  <si>
    <t>Заклади і заходи з питань дітей та їх соціального захисту</t>
  </si>
  <si>
    <t>2013110</t>
  </si>
  <si>
    <t>Служба у справах дітей облдержадміністрації</t>
  </si>
  <si>
    <t>20</t>
  </si>
  <si>
    <t xml:space="preserve">Інші установи та заклади </t>
  </si>
  <si>
    <t>1513300</t>
  </si>
  <si>
    <t>Забезпечення обробки інформації з нарахування та виплати допомог і компенсацій</t>
  </si>
  <si>
    <t>1513220</t>
  </si>
  <si>
    <t xml:space="preserve">Утримання центру соціально-психологічної допомоги </t>
  </si>
  <si>
    <t>1513501</t>
  </si>
  <si>
    <t>1513500</t>
  </si>
  <si>
    <t>Програми і заходи центрів соціальних служб для сім'ї, дітей та молоді</t>
  </si>
  <si>
    <t>1513132</t>
  </si>
  <si>
    <t>Центри соціальних служб для сім'ї, дітей та молоді</t>
  </si>
  <si>
    <t>091101</t>
  </si>
  <si>
    <t>1513131</t>
  </si>
  <si>
    <t>Здійснення соціальної роботи з вразливими категоріями населення</t>
  </si>
  <si>
    <t>1513130</t>
  </si>
  <si>
    <t>1513111</t>
  </si>
  <si>
    <t>1513110</t>
  </si>
  <si>
    <t>Надання реабілітаційних послуг інвалідам та дітям-інвалідам</t>
  </si>
  <si>
    <t>1513105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</si>
  <si>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</si>
  <si>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1513102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</si>
  <si>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</si>
  <si>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1513101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</si>
  <si>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</si>
  <si>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1513100</t>
  </si>
  <si>
    <t>1414060</t>
  </si>
  <si>
    <t>1412800</t>
  </si>
  <si>
    <t xml:space="preserve">Проведення належної медико-соціальної експертизи (МСЕК) </t>
  </si>
  <si>
    <t>081001</t>
  </si>
  <si>
    <t>1412190</t>
  </si>
  <si>
    <t xml:space="preserve">Інформаційно-методичне та просвітницьке забезпечення в галузі охорони здоров'я </t>
  </si>
  <si>
    <t>080704</t>
  </si>
  <si>
    <t>1412170</t>
  </si>
  <si>
    <t xml:space="preserve">Надання стоматологічної допомоги населенню </t>
  </si>
  <si>
    <t>080500</t>
  </si>
  <si>
    <t>1412140</t>
  </si>
  <si>
    <t>Надання швидкої та невідкладної медичної допомоги населенню</t>
  </si>
  <si>
    <t>1412110</t>
  </si>
  <si>
    <t xml:space="preserve">Створення банків крові та її компонентів </t>
  </si>
  <si>
    <t>080208</t>
  </si>
  <si>
    <t>1412100</t>
  </si>
  <si>
    <t xml:space="preserve">Медико-соціальний захист дітей-сиріт та дітей, позбавлених батьківського піклування </t>
  </si>
  <si>
    <t>080207</t>
  </si>
  <si>
    <t>1412090</t>
  </si>
  <si>
    <t xml:space="preserve">Санаторне лікування дітей та підлітків із соматичними захворюваннями (крім туберкульозу) </t>
  </si>
  <si>
    <t>080205</t>
  </si>
  <si>
    <t>1412070</t>
  </si>
  <si>
    <t xml:space="preserve">Санаторне лікування хворих на туберкульоз </t>
  </si>
  <si>
    <t>080204</t>
  </si>
  <si>
    <t>1412060</t>
  </si>
  <si>
    <t>Лікарсько-акушерська допомога  вагітним, породіллям та новонародженим</t>
  </si>
  <si>
    <t>080203</t>
  </si>
  <si>
    <t>1412050</t>
  </si>
  <si>
    <t xml:space="preserve">Спеціалізована стаціонарна медична допомога населенню </t>
  </si>
  <si>
    <t>1412030</t>
  </si>
  <si>
    <t xml:space="preserve">Багатопрофільна стаціонарна медична допомога населенню </t>
  </si>
  <si>
    <t>080101</t>
  </si>
  <si>
    <t>1412010</t>
  </si>
  <si>
    <t xml:space="preserve">Підвищення кваліфікації, перепідготовка кадрів іншими закладами післядипломної освіти </t>
  </si>
  <si>
    <t>070702</t>
  </si>
  <si>
    <t>1411150</t>
  </si>
  <si>
    <t xml:space="preserve"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 </t>
  </si>
  <si>
    <t>1411140</t>
  </si>
  <si>
    <t xml:space="preserve">Підготовка кадрів вищими навчальними закладами І і ІІ рівнів акредитації </t>
  </si>
  <si>
    <t>1411120</t>
  </si>
  <si>
    <t>Утримання центрів «Спорт для всіх» та проведення заходів з фізичної культури</t>
  </si>
  <si>
    <t>1315060</t>
  </si>
  <si>
    <t>Проведення навчально-тренувальних зборів і змагань та заходів з інвалідного спорту</t>
  </si>
  <si>
    <t>1315042</t>
  </si>
  <si>
    <t>Утримання центрів з інвалідного спорту і реабілітаційних шкіл</t>
  </si>
  <si>
    <t>1315041</t>
  </si>
  <si>
    <t>Здійснення фізкультурно-спортивної та реабілітаційної роботи серед інвалідів</t>
  </si>
  <si>
    <t>1315040</t>
  </si>
  <si>
    <t>Забезпечення підготовки спортсменів вищих категорій школами вищої спортивної майстерності</t>
  </si>
  <si>
    <t>1315021</t>
  </si>
  <si>
    <t>Діяльність закладів фізичної культури і спорту  </t>
  </si>
  <si>
    <t>1315020</t>
  </si>
  <si>
    <t>Проведення навчально-тренувальних зборів і змагань з неолімпійських видів спорту</t>
  </si>
  <si>
    <t>1315012</t>
  </si>
  <si>
    <t>Проведення навчально-тренувальних зборів і змагань з олімпійських видів спорту</t>
  </si>
  <si>
    <t>1315011</t>
  </si>
  <si>
    <t>Проведення спортивної роботи в регіоні</t>
  </si>
  <si>
    <t>1315010</t>
  </si>
  <si>
    <t>Утримання та  заходи центру організації оздоровлення та формування здорового способу життя дітей та молоді</t>
  </si>
  <si>
    <t>1113500</t>
  </si>
  <si>
    <t>Заходи державної політики з питань молоді</t>
  </si>
  <si>
    <t>1113140</t>
  </si>
  <si>
    <t>Утримання та навчально-тренувальна робота комунальних дитячо-юнацьких спортивних шкіл</t>
  </si>
  <si>
    <t>1015022</t>
  </si>
  <si>
    <t>1015020</t>
  </si>
  <si>
    <t>1015012</t>
  </si>
  <si>
    <t>1015011</t>
  </si>
  <si>
    <t>1015010</t>
  </si>
  <si>
    <t>1011800</t>
  </si>
  <si>
    <t xml:space="preserve">Утримання інших закладів освіти </t>
  </si>
  <si>
    <t>070806</t>
  </si>
  <si>
    <t>1011210</t>
  </si>
  <si>
    <t xml:space="preserve">Здійснення  централізованого господарського обслуговування </t>
  </si>
  <si>
    <t>1011200</t>
  </si>
  <si>
    <t xml:space="preserve">Централізоване ведення бухгалтерського обліку </t>
  </si>
  <si>
    <t>1011190</t>
  </si>
  <si>
    <t>Методичне забезпечення діяльності навчальних закладів та інші заходи в галузі освіти</t>
  </si>
  <si>
    <t>070802</t>
  </si>
  <si>
    <t>1011170</t>
  </si>
  <si>
    <t>1011140</t>
  </si>
  <si>
    <t xml:space="preserve">Підготовка робітничих кадрів закладами професійно-технічної освіти </t>
  </si>
  <si>
    <t>1011110</t>
  </si>
  <si>
    <t>Надання позашкільної освіти позашкільними закладами освіти, заходи із позашкільної роботи з дітьми</t>
  </si>
  <si>
    <t>1011100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</si>
  <si>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</si>
  <si>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1011090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</si>
  <si>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</si>
  <si>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1011080</t>
  </si>
  <si>
    <t>Надання загальної середньої освіти загальноосвітніми школами-інтернатами для дітей-сиріт та дітей, позбавлених батьківського піклування</t>
  </si>
  <si>
    <t>070302</t>
  </si>
  <si>
    <t>1011050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</si>
  <si>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</si>
  <si>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1011040</t>
  </si>
  <si>
    <t>1000000</t>
  </si>
  <si>
    <t>Інші заходи, пов'язані з розвитком міжнародного співробітництва та міжрегіональної співпраці (Обласна програма розвитку міжнародного  співробітництва та міжрегіональної співпраці на 2013-2015 роки)</t>
  </si>
  <si>
    <t>180410 </t>
  </si>
  <si>
    <t>0917501</t>
  </si>
  <si>
    <t>0910000</t>
  </si>
  <si>
    <t>0900000</t>
  </si>
  <si>
    <t>Інші видатки (утримання науково-редакційної групи книги "Реабілітовані історією. Рівненська область")</t>
  </si>
  <si>
    <t>0818600</t>
  </si>
  <si>
    <t>Підтримка книговидання</t>
  </si>
  <si>
    <t>0817213</t>
  </si>
  <si>
    <t>Підтримка засобів масової інформації</t>
  </si>
  <si>
    <t>0817210</t>
  </si>
  <si>
    <t>Управління інформаційної діяльності та комунікацій з громадськістю облдержадміністрації</t>
  </si>
  <si>
    <t>0810000</t>
  </si>
  <si>
    <t>0800000</t>
  </si>
  <si>
    <t>0313300</t>
  </si>
  <si>
    <t>0310000</t>
  </si>
  <si>
    <t>0300000</t>
  </si>
  <si>
    <t>0117460</t>
  </si>
  <si>
    <t>0110000</t>
  </si>
  <si>
    <t>0100000</t>
  </si>
  <si>
    <t>14=4+7</t>
  </si>
  <si>
    <t>2</t>
  </si>
  <si>
    <t>1</t>
  </si>
  <si>
    <t>капітальні видатки за рахунок коштів, що передаються із загального фонду до бюджету розвитку (спеціального фонду)</t>
  </si>
  <si>
    <t>з них</t>
  </si>
  <si>
    <t>бюджет розвитку</t>
  </si>
  <si>
    <t>комунальні послуги та енергоносії</t>
  </si>
  <si>
    <t>оплата праці</t>
  </si>
  <si>
    <t>розвитку</t>
  </si>
  <si>
    <t>споживання</t>
  </si>
  <si>
    <t>Найменування коду програмної класифікації видатків та кредитування місцевих бюджетів</t>
  </si>
  <si>
    <t>Код тимчасової класифікації видатків та кредитування місцевих бюджетів  (КТКВК)</t>
  </si>
  <si>
    <t>Видатки спеціального фонду</t>
  </si>
  <si>
    <t>Видатки загального фонду</t>
  </si>
  <si>
    <t>Код типової відомчої класифікації видатків</t>
  </si>
  <si>
    <t>Код програмної класифікації видатків та кредитування місцевих бюджетів (КПКВК)</t>
  </si>
  <si>
    <t>за головними розпорядниками коштів</t>
  </si>
  <si>
    <t>Зміни до розподілу видатків обласного бюджету на 2014 рік</t>
  </si>
  <si>
    <r>
      <t xml:space="preserve">від </t>
    </r>
    <r>
      <rPr>
        <u val="single"/>
        <sz val="10"/>
        <rFont val="Times New Roman"/>
        <family val="1"/>
      </rPr>
      <t>04 лютого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року №</t>
    </r>
    <r>
      <rPr>
        <u val="single"/>
        <sz val="10"/>
        <rFont val="Times New Roman"/>
        <family val="1"/>
      </rPr>
      <t>1130</t>
    </r>
  </si>
  <si>
    <t>Додаток 2.1</t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</si>
  <si>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</si>
  <si>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r>
      <t>250000</t>
    </r>
    <r>
      <rPr>
        <b/>
        <sz val="12"/>
        <color indexed="8"/>
        <rFont val="Times New Roman"/>
        <family val="1"/>
      </rPr>
      <t> </t>
    </r>
  </si>
  <si>
    <t>в т.ч.</t>
  </si>
  <si>
    <t>Інші видатки </t>
  </si>
  <si>
    <t>250404 </t>
  </si>
  <si>
    <r>
      <t>Інші послуги, пов'язані з економічною діяльністю</t>
    </r>
    <r>
      <rPr>
        <b/>
        <sz val="12"/>
        <color indexed="8"/>
        <rFont val="Times New Roman"/>
        <family val="1"/>
      </rPr>
      <t> </t>
    </r>
  </si>
  <si>
    <r>
      <t>180000</t>
    </r>
    <r>
      <rPr>
        <b/>
        <sz val="12"/>
        <color indexed="8"/>
        <rFont val="Times New Roman"/>
        <family val="1"/>
      </rPr>
      <t> </t>
    </r>
  </si>
  <si>
    <t>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</t>
  </si>
  <si>
    <r>
      <t>Запобігання та ліквідація надзвичайних ситуацій та наслідків стихійного лиха</t>
    </r>
    <r>
      <rPr>
        <b/>
        <sz val="12"/>
        <color indexed="8"/>
        <rFont val="Times New Roman"/>
        <family val="1"/>
      </rPr>
      <t> </t>
    </r>
  </si>
  <si>
    <r>
      <t>210000</t>
    </r>
    <r>
      <rPr>
        <b/>
        <sz val="12"/>
        <color indexed="8"/>
        <rFont val="Times New Roman"/>
        <family val="1"/>
      </rPr>
      <t> </t>
    </r>
  </si>
  <si>
    <r>
      <t>Цільові фонди</t>
    </r>
    <r>
      <rPr>
        <sz val="12"/>
        <color indexed="8"/>
        <rFont val="Times New Roman"/>
        <family val="1"/>
      </rPr>
      <t> </t>
    </r>
  </si>
  <si>
    <r>
      <t>240000</t>
    </r>
    <r>
      <rPr>
        <sz val="12"/>
        <color indexed="8"/>
        <rFont val="Times New Roman"/>
        <family val="1"/>
      </rPr>
      <t> </t>
    </r>
  </si>
  <si>
    <r>
      <t>Охорона навколишнього природного середовища та ядерна безпека</t>
    </r>
    <r>
      <rPr>
        <b/>
        <sz val="12"/>
        <color indexed="8"/>
        <rFont val="Times New Roman"/>
        <family val="1"/>
      </rPr>
      <t> </t>
    </r>
  </si>
  <si>
    <r>
      <t>200000</t>
    </r>
    <r>
      <rPr>
        <b/>
        <sz val="12"/>
        <color indexed="8"/>
        <rFont val="Times New Roman"/>
        <family val="1"/>
      </rPr>
      <t> </t>
    </r>
  </si>
  <si>
    <t>внески у статутний капітал ОКП "Міжнародний аеропорт Рівне" Рівненської обласної ради, з них</t>
  </si>
  <si>
    <t>внески у статутний капітал КП "Автобаза" Рівненської обласної ради, з них</t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</si>
  <si>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</si>
  <si>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r>
      <t>180000</t>
    </r>
    <r>
      <rPr>
        <sz val="12"/>
        <color indexed="8"/>
        <rFont val="Times New Roman"/>
        <family val="1"/>
      </rPr>
      <t> </t>
    </r>
  </si>
  <si>
    <r>
      <t>Цільові фонди</t>
    </r>
    <r>
      <rPr>
        <b/>
        <sz val="12"/>
        <color indexed="8"/>
        <rFont val="Times New Roman"/>
        <family val="1"/>
      </rPr>
      <t> </t>
    </r>
  </si>
  <si>
    <r>
      <t>240000</t>
    </r>
    <r>
      <rPr>
        <b/>
        <sz val="12"/>
        <color indexed="8"/>
        <rFont val="Times New Roman"/>
        <family val="1"/>
      </rPr>
      <t> </t>
    </r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</si>
  <si>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</si>
  <si>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</si>
  <si>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r>
      <t>Транспорт, дорожнє господарство, зв'язок, телекомунікації та інформатика</t>
    </r>
    <r>
      <rPr>
        <sz val="12"/>
        <color indexed="8"/>
        <rFont val="Times New Roman"/>
        <family val="1"/>
      </rPr>
      <t> </t>
    </r>
  </si>
  <si>
    <r>
      <t>170000</t>
    </r>
    <r>
      <rPr>
        <sz val="12"/>
        <color indexed="8"/>
        <rFont val="Times New Roman"/>
        <family val="1"/>
      </rPr>
      <t> </t>
    </r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</si>
  <si>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 </t>
  </si>
  <si>
    <t>Будівництво </t>
  </si>
  <si>
    <t>150000 </t>
  </si>
  <si>
    <t>внески у статутний капітал РОВКП ВКГ "Рівнеоблводоканал", з них</t>
  </si>
  <si>
    <t>Іншi видатки, в т.ч.</t>
  </si>
  <si>
    <t>Видатки, не вiднесенi до основних груп</t>
  </si>
  <si>
    <t>250000</t>
  </si>
  <si>
    <r>
      <t>Культура і мистецтво</t>
    </r>
    <r>
      <rPr>
        <b/>
        <sz val="12"/>
        <color indexed="8"/>
        <rFont val="Times New Roman"/>
        <family val="1"/>
      </rPr>
      <t> </t>
    </r>
  </si>
  <si>
    <r>
      <t>110000</t>
    </r>
    <r>
      <rPr>
        <b/>
        <sz val="12"/>
        <color indexed="8"/>
        <rFont val="Times New Roman"/>
        <family val="1"/>
      </rPr>
      <t> </t>
    </r>
  </si>
  <si>
    <t>Утримання закладів, що надають соціальні послуги дітям, які опинились в складних життєвих обставинах </t>
  </si>
  <si>
    <r>
      <t>Соціальний захист та соціальне забезпечення</t>
    </r>
    <r>
      <rPr>
        <b/>
        <sz val="12"/>
        <color indexed="8"/>
        <rFont val="Times New Roman"/>
        <family val="1"/>
      </rPr>
      <t> </t>
    </r>
  </si>
  <si>
    <r>
      <t>090000</t>
    </r>
    <r>
      <rPr>
        <b/>
        <sz val="12"/>
        <color indexed="8"/>
        <rFont val="Times New Roman"/>
        <family val="1"/>
      </rPr>
      <t> </t>
    </r>
  </si>
  <si>
    <t>КЗ Рівненський центр соціально-психологічної допомоги Рівненської обласної ради</t>
  </si>
  <si>
    <t xml:space="preserve">Iншi видатки </t>
  </si>
  <si>
    <t>Утримання центрiв соцiальних служб для сім'ї, дітей та молодi</t>
  </si>
  <si>
    <t>комунальний заклад "Обласний центр  профілактики та боротьби зі СНІДом" Рівненської обласної ради</t>
  </si>
  <si>
    <t xml:space="preserve">обласна база спеціального медичного постачання </t>
  </si>
  <si>
    <t>Рівненський обласний інформаційно-аналітичний центр медичної статистики</t>
  </si>
  <si>
    <t>комунальний заклад "Обласне бюро судово-медичної експертизи" Рівненської обласної ради</t>
  </si>
  <si>
    <t>Медико-соціальні експертні комісії</t>
  </si>
  <si>
    <t>Центри здоров‘я і заходи у сфері санітарної освіти</t>
  </si>
  <si>
    <t>Загальні і спеціалізовані стоматологічні поліклініки</t>
  </si>
  <si>
    <t>080500 </t>
  </si>
  <si>
    <t>Станції переливання крові</t>
  </si>
  <si>
    <t>Будинки дитини</t>
  </si>
  <si>
    <t>Санаторії для дітей та підлітків (нетуберкульозні)</t>
  </si>
  <si>
    <t>Санаторії для хворих туберкульозом</t>
  </si>
  <si>
    <t>Перинатальні центри, пологові будинки</t>
  </si>
  <si>
    <t>Лікарні</t>
  </si>
  <si>
    <r>
      <t>Охорона здоров'я</t>
    </r>
    <r>
      <rPr>
        <b/>
        <sz val="12"/>
        <color indexed="8"/>
        <rFont val="Times New Roman"/>
        <family val="1"/>
      </rPr>
      <t> </t>
    </r>
  </si>
  <si>
    <r>
      <t>080000</t>
    </r>
    <r>
      <rPr>
        <b/>
        <sz val="12"/>
        <color indexed="8"/>
        <rFont val="Times New Roman"/>
        <family val="1"/>
      </rPr>
      <t> </t>
    </r>
  </si>
  <si>
    <t>Інші заклади і заходи післядипломної освіти (обласні курси підвищення кваліфікації середніх медпрацівників)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</si>
  <si>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</si>
  <si>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Вищі заклади освіти I та II рівнів акредитації </t>
  </si>
  <si>
    <t>070601 </t>
  </si>
  <si>
    <r>
      <t>Освіта</t>
    </r>
    <r>
      <rPr>
        <b/>
        <sz val="12"/>
        <color indexed="8"/>
        <rFont val="Times New Roman"/>
        <family val="1"/>
      </rPr>
      <t> </t>
    </r>
  </si>
  <si>
    <r>
      <t>070000</t>
    </r>
    <r>
      <rPr>
        <b/>
        <sz val="12"/>
        <color indexed="8"/>
        <rFont val="Times New Roman"/>
        <family val="1"/>
      </rPr>
      <t> </t>
    </r>
  </si>
  <si>
    <t>Проведення навчально-тренувальних зборів і змагань з неолімпійських видів спорту </t>
  </si>
  <si>
    <t>130106 </t>
  </si>
  <si>
    <t>Проведення навчально-тренувальних зборів і змагань </t>
  </si>
  <si>
    <t>130102 </t>
  </si>
  <si>
    <r>
      <t>Фізична культура і спорт</t>
    </r>
    <r>
      <rPr>
        <b/>
        <sz val="12"/>
        <color indexed="8"/>
        <rFont val="Times New Roman"/>
        <family val="1"/>
      </rPr>
      <t> </t>
    </r>
  </si>
  <si>
    <r>
      <t>130000</t>
    </r>
    <r>
      <rPr>
        <b/>
        <sz val="12"/>
        <color indexed="8"/>
        <rFont val="Times New Roman"/>
        <family val="1"/>
      </rPr>
      <t> </t>
    </r>
  </si>
  <si>
    <t>КЗ "Рівненський обласний центр організації оздоровлення та формування здорового способу життя дітей та молоді" Рівненської обласної ради, з них</t>
  </si>
  <si>
    <t>Соціальні програми і заходи державних органів у справах молоді </t>
  </si>
  <si>
    <t>091103 </t>
  </si>
  <si>
    <t>Програма впровадженння інформаційно-комунікаційних технологій у навчальних закладах області на період до 2015 року</t>
  </si>
  <si>
    <t>Інші освітні програми, в т.ч.:</t>
  </si>
  <si>
    <t>учнівські олімпіади, турніри, конкурси</t>
  </si>
  <si>
    <t>статистичні, інформаційно-аналітичні збірники, бланки статистичних звітів та інструкцій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</si>
  <si>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</si>
  <si>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Методична робота, iншi заходи у сфері народної освiти, в т.ч.:</t>
  </si>
  <si>
    <t>Загальноосвітні школи-інтернати для дітей-сиріт та дітей, які залишилися без піклування батьків </t>
  </si>
  <si>
    <t>Інші заходи, пов'язані з економічною діяльністю </t>
  </si>
  <si>
    <r>
      <t>Засоби масової інформації</t>
    </r>
    <r>
      <rPr>
        <b/>
        <sz val="12"/>
        <color indexed="8"/>
        <rFont val="Times New Roman"/>
        <family val="1"/>
      </rPr>
      <t> </t>
    </r>
  </si>
  <si>
    <r>
      <t>120000</t>
    </r>
    <r>
      <rPr>
        <b/>
        <sz val="12"/>
        <color indexed="8"/>
        <rFont val="Times New Roman"/>
        <family val="1"/>
      </rPr>
      <t> </t>
    </r>
  </si>
  <si>
    <t>Інші установи та заклади </t>
  </si>
  <si>
    <r>
      <t>Соціальний захист та соціальне забезпечення</t>
    </r>
    <r>
      <rPr>
        <sz val="12"/>
        <color indexed="8"/>
        <rFont val="Times New Roman"/>
        <family val="1"/>
      </rPr>
      <t> </t>
    </r>
  </si>
  <si>
    <r>
      <t>090000</t>
    </r>
    <r>
      <rPr>
        <sz val="12"/>
        <color indexed="8"/>
        <rFont val="Times New Roman"/>
        <family val="1"/>
      </rPr>
      <t> </t>
    </r>
  </si>
  <si>
    <t>внески у статутний капітал КП  "Управління майновим комплексом" Рівненської обласної ради, з них</t>
  </si>
  <si>
    <t>Інші послуги, пов'язані з економічною діяльністю </t>
  </si>
  <si>
    <t>180000 </t>
  </si>
  <si>
    <t>13=3+6</t>
  </si>
  <si>
    <t>Додаток 2</t>
  </si>
  <si>
    <t>ВСЬОГО</t>
  </si>
  <si>
    <t>Програма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</t>
  </si>
  <si>
    <t>на виконання заходу"Забезпечення екологічно безпечного перевезення та утилізації відпрацьованих люмінесцентних ламп в с.Шубків Рівненського району"</t>
  </si>
  <si>
    <t>на 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</si>
  <si>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>на створення центру адміністративних послуг в м.Острог- виконання будівельних робіт з капітального ремонту адміністративного приміщення по вул.Кривоноса,32 в м.Острог</t>
  </si>
  <si>
    <t>Млинівському районному бюджету на поточний ремонт території братської могили с.Малин Млинівського району</t>
  </si>
  <si>
    <t>на виконання програми електрифікації новозбудованих вулиць сільських населених пунктів області на період до 2015 року</t>
  </si>
  <si>
    <t>утримання науково-редакційної групи книги "Реабілітовані історією. Рівненська область")</t>
  </si>
  <si>
    <t>Інша діяльність у сфері охорони навколишнього природного середовища</t>
  </si>
  <si>
    <t>Утилізація відходів</t>
  </si>
  <si>
    <t>Цiльовi фонди</t>
  </si>
  <si>
    <t>Запобігання та лiквiдацiя надзвичайних ситуацiй та наслiдкiв стихiйного лиха</t>
  </si>
  <si>
    <r>
      <t>Охорона навколишнього природного середовища та ядерна безпека</t>
    </r>
    <r>
      <rPr>
        <sz val="12"/>
        <color indexed="8"/>
        <rFont val="Times New Roman"/>
        <family val="1"/>
      </rPr>
      <t> </t>
    </r>
  </si>
  <si>
    <r>
      <t>200000</t>
    </r>
    <r>
      <rPr>
        <sz val="12"/>
        <color indexed="8"/>
        <rFont val="Times New Roman"/>
        <family val="1"/>
      </rPr>
      <t> </t>
    </r>
  </si>
  <si>
    <t xml:space="preserve">Видатки на проведення робіт, пов'язаних з будiвництвом, реконструкцiєю, ремонтом i утриманням автомобiльних дорiг </t>
  </si>
  <si>
    <t>Транспорт, дорожнє господарство, зв'язок, телекомунiкацiї та iнформатика</t>
  </si>
  <si>
    <t>Будiвництво</t>
  </si>
  <si>
    <t>Фiзична культура i спорт</t>
  </si>
  <si>
    <t>Культура i мистецтво</t>
  </si>
  <si>
    <t>Соцiальний захист та соцiальне забезпечення</t>
  </si>
  <si>
    <t>090000</t>
  </si>
  <si>
    <t>Охорона здоров'я</t>
  </si>
  <si>
    <t>080000</t>
  </si>
  <si>
    <t>Обласна програма роботи з обдарованою молоддю області на 2011-2014 роки</t>
  </si>
  <si>
    <t>Освiта</t>
  </si>
  <si>
    <t>070000</t>
  </si>
  <si>
    <t xml:space="preserve"> за тимчасовою класифікацією видатків та кредитування місцевих бюджетів</t>
  </si>
  <si>
    <t xml:space="preserve">Зміни до видатків обласного  бюджету  на  2014 рік </t>
  </si>
  <si>
    <t>від ____________ 2013 року № ______</t>
  </si>
  <si>
    <t>до рішення Рівненської обласної  ради</t>
  </si>
  <si>
    <t>Додаток 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</si>
</sst>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  <numFmt numFmtId="187" formatCode="#,##0.00000"/>
  </numFmts>
  <fonts count="127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 Cyr"/>
      <family val="1"/>
    </font>
    <font>
      <sz val="13"/>
      <name val="Times New Roman Cyr"/>
      <family val="0"/>
    </font>
    <font>
      <sz val="12"/>
      <name val="Times New Roman Cyr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sz val="13.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imes New Roman CYR"/>
      <family val="1"/>
    </font>
    <font>
      <b/>
      <sz val="13"/>
      <name val="Arial"/>
      <family val="2"/>
    </font>
    <font>
      <b/>
      <sz val="13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sz val="10"/>
      <name val="Helv"/>
      <family val="0"/>
    </font>
    <font>
      <sz val="11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color indexed="6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13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8"/>
      <name val="Times New Roman Cyr"/>
      <family val="1"/>
    </font>
    <font>
      <sz val="13"/>
      <color indexed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sz val="10.5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0"/>
      <name val="Times New Roman Cyr"/>
      <family val="1"/>
    </font>
    <font>
      <sz val="12"/>
      <color indexed="8"/>
      <name val="Times New Roman Cyr"/>
      <family val="0"/>
    </font>
    <font>
      <b/>
      <sz val="15"/>
      <name val="Times New Roman"/>
      <family val="1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hair"/>
      <bottom style="hair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5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0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0" fillId="0" borderId="0">
      <alignment/>
      <protection/>
    </xf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15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4" fillId="23" borderId="1" applyNumberFormat="0" applyAlignment="0" applyProtection="0"/>
    <xf numFmtId="0" fontId="115" fillId="24" borderId="2" applyNumberFormat="0" applyAlignment="0" applyProtection="0"/>
    <xf numFmtId="0" fontId="116" fillId="24" borderId="1" applyNumberFormat="0" applyAlignment="0" applyProtection="0"/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7" fillId="0" borderId="0">
      <alignment/>
      <protection/>
    </xf>
    <xf numFmtId="0" fontId="118" fillId="0" borderId="6" applyNumberFormat="0" applyFill="0" applyAlignment="0" applyProtection="0"/>
    <xf numFmtId="0" fontId="119" fillId="25" borderId="7" applyNumberFormat="0" applyAlignment="0" applyProtection="0"/>
    <xf numFmtId="0" fontId="29" fillId="0" borderId="0" applyNumberFormat="0" applyFill="0" applyBorder="0" applyAlignment="0" applyProtection="0"/>
    <xf numFmtId="0" fontId="120" fillId="26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1" fillId="27" borderId="0" applyNumberFormat="0" applyBorder="0" applyAlignment="0" applyProtection="0"/>
    <xf numFmtId="0" fontId="12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25" fillId="29" borderId="0" applyNumberFormat="0" applyBorder="0" applyAlignment="0" applyProtection="0"/>
  </cellStyleXfs>
  <cellXfs count="7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10" fillId="30" borderId="10" xfId="0" applyNumberFormat="1" applyFont="1" applyFill="1" applyBorder="1" applyAlignment="1">
      <alignment horizontal="center" vertical="top" wrapText="1"/>
    </xf>
    <xf numFmtId="49" fontId="10" fillId="30" borderId="10" xfId="0" applyNumberFormat="1" applyFont="1" applyFill="1" applyBorder="1" applyAlignment="1" applyProtection="1">
      <alignment vertical="top" wrapText="1"/>
      <protection locked="0"/>
    </xf>
    <xf numFmtId="49" fontId="7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 applyProtection="1">
      <alignment vertical="top" wrapText="1"/>
      <protection locked="0"/>
    </xf>
    <xf numFmtId="3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/>
    </xf>
    <xf numFmtId="49" fontId="11" fillId="0" borderId="10" xfId="0" applyNumberFormat="1" applyFont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0" fillId="30" borderId="10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49" fontId="7" fillId="30" borderId="10" xfId="0" applyNumberFormat="1" applyFont="1" applyFill="1" applyBorder="1" applyAlignment="1">
      <alignment horizontal="center" vertical="top" wrapText="1"/>
    </xf>
    <xf numFmtId="49" fontId="7" fillId="30" borderId="10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49" fontId="7" fillId="3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31" borderId="0" xfId="0" applyFont="1" applyFill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4" fontId="13" fillId="31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justify" wrapText="1"/>
    </xf>
    <xf numFmtId="0" fontId="38" fillId="0" borderId="12" xfId="0" applyFont="1" applyBorder="1" applyAlignment="1">
      <alignment horizontal="center" vertical="justify" wrapText="1"/>
    </xf>
    <xf numFmtId="0" fontId="38" fillId="0" borderId="13" xfId="0" applyFont="1" applyBorder="1" applyAlignment="1">
      <alignment horizontal="center" vertical="justify" wrapText="1"/>
    </xf>
    <xf numFmtId="0" fontId="12" fillId="0" borderId="10" xfId="0" applyNumberFormat="1" applyFont="1" applyBorder="1" applyAlignment="1" applyProtection="1">
      <alignment vertical="top" wrapText="1"/>
      <protection locked="0"/>
    </xf>
    <xf numFmtId="4" fontId="12" fillId="31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4" fontId="40" fillId="0" borderId="14" xfId="47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4" fontId="40" fillId="0" borderId="15" xfId="47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40" fillId="0" borderId="17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47" fillId="0" borderId="10" xfId="52" applyFont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1" fontId="39" fillId="0" borderId="15" xfId="0" applyNumberFormat="1" applyFont="1" applyBorder="1" applyAlignment="1">
      <alignment horizontal="center" vertical="center" wrapText="1"/>
    </xf>
    <xf numFmtId="0" fontId="39" fillId="31" borderId="17" xfId="0" applyFont="1" applyFill="1" applyBorder="1" applyAlignment="1">
      <alignment horizontal="left" vertical="center" wrapText="1"/>
    </xf>
    <xf numFmtId="0" fontId="47" fillId="0" borderId="15" xfId="52" applyFont="1" applyBorder="1" applyAlignment="1">
      <alignment horizontal="left" vertical="center" wrapText="1"/>
      <protection/>
    </xf>
    <xf numFmtId="0" fontId="48" fillId="0" borderId="1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2" fontId="44" fillId="2" borderId="15" xfId="0" applyNumberFormat="1" applyFont="1" applyFill="1" applyBorder="1" applyAlignment="1">
      <alignment horizontal="center" vertical="center" wrapText="1"/>
    </xf>
    <xf numFmtId="2" fontId="41" fillId="2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2" fontId="41" fillId="31" borderId="15" xfId="0" applyNumberFormat="1" applyFont="1" applyFill="1" applyBorder="1" applyAlignment="1">
      <alignment horizontal="center" vertical="center" wrapText="1"/>
    </xf>
    <xf numFmtId="4" fontId="37" fillId="31" borderId="1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/>
    </xf>
    <xf numFmtId="0" fontId="39" fillId="31" borderId="11" xfId="0" applyFont="1" applyFill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37" fillId="0" borderId="10" xfId="52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39" fillId="31" borderId="18" xfId="0" applyFont="1" applyFill="1" applyBorder="1" applyAlignment="1">
      <alignment horizontal="left" vertical="center" wrapText="1"/>
    </xf>
    <xf numFmtId="0" fontId="37" fillId="0" borderId="10" xfId="52" applyFont="1" applyBorder="1" applyAlignment="1">
      <alignment horizontal="left" vertical="center" wrapText="1"/>
      <protection/>
    </xf>
    <xf numFmtId="2" fontId="41" fillId="0" borderId="19" xfId="0" applyNumberFormat="1" applyFont="1" applyBorder="1" applyAlignment="1">
      <alignment horizontal="center" vertical="center" wrapText="1"/>
    </xf>
    <xf numFmtId="2" fontId="40" fillId="0" borderId="19" xfId="0" applyNumberFormat="1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0" fontId="37" fillId="0" borderId="14" xfId="52" applyFont="1" applyBorder="1" applyAlignment="1">
      <alignment horizontal="left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184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41" fillId="31" borderId="10" xfId="0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" fontId="37" fillId="31" borderId="19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37" fillId="31" borderId="10" xfId="64" applyFont="1" applyFill="1" applyBorder="1" applyAlignment="1">
      <alignment horizontal="left" vertical="center" wrapText="1"/>
      <protection/>
    </xf>
    <xf numFmtId="2" fontId="41" fillId="0" borderId="14" xfId="0" applyNumberFormat="1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2" fontId="39" fillId="31" borderId="14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Border="1" applyAlignment="1">
      <alignment horizontal="center" vertical="center" wrapText="1"/>
    </xf>
    <xf numFmtId="0" fontId="37" fillId="31" borderId="14" xfId="64" applyFont="1" applyFill="1" applyBorder="1" applyAlignment="1">
      <alignment horizontal="left" vertical="center" wrapText="1"/>
      <protection/>
    </xf>
    <xf numFmtId="2" fontId="54" fillId="0" borderId="10" xfId="0" applyNumberFormat="1" applyFont="1" applyBorder="1" applyAlignment="1">
      <alignment horizontal="center" vertical="center" wrapText="1"/>
    </xf>
    <xf numFmtId="2" fontId="40" fillId="31" borderId="10" xfId="0" applyNumberFormat="1" applyFont="1" applyFill="1" applyBorder="1" applyAlignment="1">
      <alignment horizontal="center" vertical="center" wrapText="1"/>
    </xf>
    <xf numFmtId="4" fontId="37" fillId="31" borderId="10" xfId="0" applyNumberFormat="1" applyFont="1" applyFill="1" applyBorder="1" applyAlignment="1">
      <alignment horizontal="center" vertical="center" wrapText="1"/>
    </xf>
    <xf numFmtId="2" fontId="39" fillId="31" borderId="10" xfId="0" applyNumberFormat="1" applyFont="1" applyFill="1" applyBorder="1" applyAlignment="1">
      <alignment horizontal="center" vertical="center" wrapText="1"/>
    </xf>
    <xf numFmtId="1" fontId="39" fillId="31" borderId="10" xfId="0" applyNumberFormat="1" applyFont="1" applyFill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0" fontId="47" fillId="0" borderId="14" xfId="52" applyFont="1" applyBorder="1" applyAlignment="1">
      <alignment horizontal="left" vertical="center" wrapText="1"/>
      <protection/>
    </xf>
    <xf numFmtId="0" fontId="48" fillId="0" borderId="19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left" vertical="center"/>
    </xf>
    <xf numFmtId="2" fontId="52" fillId="0" borderId="19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2" fontId="41" fillId="2" borderId="15" xfId="0" applyNumberFormat="1" applyFont="1" applyFill="1" applyBorder="1" applyAlignment="1">
      <alignment horizontal="center" vertical="center" wrapText="1"/>
    </xf>
    <xf numFmtId="2" fontId="39" fillId="31" borderId="15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3" fillId="31" borderId="10" xfId="0" applyNumberFormat="1" applyFont="1" applyFill="1" applyBorder="1" applyAlignment="1">
      <alignment horizontal="center" vertical="center" wrapText="1"/>
    </xf>
    <xf numFmtId="2" fontId="49" fillId="31" borderId="15" xfId="0" applyNumberFormat="1" applyFont="1" applyFill="1" applyBorder="1" applyAlignment="1">
      <alignment horizontal="center" vertical="center" wrapText="1"/>
    </xf>
    <xf numFmtId="2" fontId="49" fillId="31" borderId="10" xfId="0" applyNumberFormat="1" applyFont="1" applyFill="1" applyBorder="1" applyAlignment="1">
      <alignment horizontal="center" vertical="center" wrapText="1"/>
    </xf>
    <xf numFmtId="1" fontId="49" fillId="31" borderId="10" xfId="0" applyNumberFormat="1" applyFont="1" applyFill="1" applyBorder="1" applyAlignment="1">
      <alignment horizontal="center" vertical="center" wrapText="1"/>
    </xf>
    <xf numFmtId="0" fontId="45" fillId="31" borderId="19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7" fillId="0" borderId="10" xfId="63" applyFont="1" applyFill="1" applyBorder="1" applyAlignment="1">
      <alignment horizontal="left" vertical="center" wrapText="1"/>
      <protection/>
    </xf>
    <xf numFmtId="1" fontId="49" fillId="0" borderId="10" xfId="0" applyNumberFormat="1" applyFont="1" applyBorder="1" applyAlignment="1">
      <alignment horizontal="center" vertical="center" wrapText="1"/>
    </xf>
    <xf numFmtId="0" fontId="45" fillId="0" borderId="10" xfId="63" applyFont="1" applyFill="1" applyBorder="1" applyAlignment="1">
      <alignment horizontal="left" vertical="center" wrapText="1"/>
      <protection/>
    </xf>
    <xf numFmtId="1" fontId="43" fillId="31" borderId="10" xfId="0" applyNumberFormat="1" applyFont="1" applyFill="1" applyBorder="1" applyAlignment="1">
      <alignment horizontal="center" vertical="center" wrapText="1"/>
    </xf>
    <xf numFmtId="0" fontId="40" fillId="31" borderId="10" xfId="0" applyFont="1" applyFill="1" applyBorder="1" applyAlignment="1">
      <alignment horizontal="left" vertical="center" wrapText="1"/>
    </xf>
    <xf numFmtId="0" fontId="45" fillId="31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57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top" wrapText="1"/>
    </xf>
    <xf numFmtId="2" fontId="51" fillId="0" borderId="10" xfId="0" applyNumberFormat="1" applyFont="1" applyBorder="1" applyAlignment="1">
      <alignment horizontal="center" vertical="center" wrapText="1"/>
    </xf>
    <xf numFmtId="184" fontId="40" fillId="31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0" fontId="39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2" fontId="51" fillId="31" borderId="10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0" fillId="31" borderId="11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40" fillId="31" borderId="18" xfId="0" applyFont="1" applyFill="1" applyBorder="1" applyAlignment="1">
      <alignment horizontal="left" vertical="center" wrapText="1"/>
    </xf>
    <xf numFmtId="2" fontId="51" fillId="0" borderId="19" xfId="0" applyNumberFormat="1" applyFont="1" applyBorder="1" applyAlignment="1">
      <alignment horizontal="center" vertical="center" wrapText="1"/>
    </xf>
    <xf numFmtId="1" fontId="56" fillId="0" borderId="19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 wrapText="1"/>
    </xf>
    <xf numFmtId="184" fontId="39" fillId="0" borderId="10" xfId="0" applyNumberFormat="1" applyFont="1" applyBorder="1" applyAlignment="1">
      <alignment horizontal="center" vertical="center" wrapText="1"/>
    </xf>
    <xf numFmtId="0" fontId="37" fillId="31" borderId="10" xfId="52" applyFont="1" applyFill="1" applyBorder="1" applyAlignment="1">
      <alignment horizontal="left" vertical="center" wrapText="1"/>
      <protection/>
    </xf>
    <xf numFmtId="1" fontId="56" fillId="31" borderId="10" xfId="0" applyNumberFormat="1" applyFont="1" applyFill="1" applyBorder="1" applyAlignment="1">
      <alignment horizontal="center" vertical="center" wrapText="1"/>
    </xf>
    <xf numFmtId="1" fontId="56" fillId="0" borderId="15" xfId="0" applyNumberFormat="1" applyFont="1" applyBorder="1" applyAlignment="1">
      <alignment horizontal="center" vertical="center" wrapText="1"/>
    </xf>
    <xf numFmtId="184" fontId="39" fillId="0" borderId="15" xfId="0" applyNumberFormat="1" applyFont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left" vertical="center"/>
    </xf>
    <xf numFmtId="1" fontId="51" fillId="0" borderId="15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47" fillId="0" borderId="10" xfId="52" applyFont="1" applyBorder="1" applyAlignment="1">
      <alignment horizontal="left" vertical="top" wrapText="1"/>
      <protection/>
    </xf>
    <xf numFmtId="0" fontId="40" fillId="0" borderId="10" xfId="0" applyFont="1" applyBorder="1" applyAlignment="1">
      <alignment horizontal="left" vertical="center" wrapText="1"/>
    </xf>
    <xf numFmtId="0" fontId="47" fillId="0" borderId="10" xfId="52" applyFont="1" applyFill="1" applyBorder="1" applyAlignment="1">
      <alignment horizontal="left" vertical="center" wrapText="1"/>
      <protection/>
    </xf>
    <xf numFmtId="184" fontId="39" fillId="31" borderId="10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1" fontId="49" fillId="0" borderId="19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2" fontId="39" fillId="32" borderId="10" xfId="0" applyNumberFormat="1" applyFont="1" applyFill="1" applyBorder="1" applyAlignment="1">
      <alignment horizontal="center" vertical="center" wrapText="1"/>
    </xf>
    <xf numFmtId="0" fontId="37" fillId="0" borderId="10" xfId="68" applyFont="1" applyFill="1" applyBorder="1" applyAlignment="1">
      <alignment horizontal="left" vertical="center" wrapText="1"/>
      <protection/>
    </xf>
    <xf numFmtId="1" fontId="56" fillId="0" borderId="10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2" fontId="41" fillId="0" borderId="14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2" fontId="41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0" fontId="41" fillId="31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31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43" fillId="31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4" fontId="41" fillId="31" borderId="15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 wrapText="1"/>
    </xf>
    <xf numFmtId="4" fontId="43" fillId="31" borderId="15" xfId="0" applyNumberFormat="1" applyFont="1" applyFill="1" applyBorder="1" applyAlignment="1">
      <alignment horizontal="center" vertical="center" wrapText="1"/>
    </xf>
    <xf numFmtId="4" fontId="49" fillId="0" borderId="15" xfId="0" applyNumberFormat="1" applyFont="1" applyBorder="1" applyAlignment="1">
      <alignment horizontal="center" vertical="center" wrapText="1"/>
    </xf>
    <xf numFmtId="0" fontId="45" fillId="0" borderId="10" xfId="52" applyFont="1" applyBorder="1" applyAlignment="1">
      <alignment horizontal="left" vertical="center" wrapText="1"/>
      <protection/>
    </xf>
    <xf numFmtId="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4" fontId="40" fillId="0" borderId="19" xfId="0" applyNumberFormat="1" applyFont="1" applyBorder="1" applyAlignment="1">
      <alignment horizontal="center" vertical="center" wrapText="1"/>
    </xf>
    <xf numFmtId="4" fontId="41" fillId="31" borderId="19" xfId="0" applyNumberFormat="1" applyFont="1" applyFill="1" applyBorder="1" applyAlignment="1">
      <alignment horizontal="center" vertical="center" wrapText="1"/>
    </xf>
    <xf numFmtId="4" fontId="39" fillId="0" borderId="19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39" fillId="31" borderId="15" xfId="0" applyNumberFormat="1" applyFont="1" applyFill="1" applyBorder="1" applyAlignment="1">
      <alignment horizontal="center" vertical="center" wrapText="1"/>
    </xf>
    <xf numFmtId="4" fontId="49" fillId="31" borderId="10" xfId="0" applyNumberFormat="1" applyFont="1" applyFill="1" applyBorder="1" applyAlignment="1">
      <alignment horizontal="center" vertical="center" wrapText="1"/>
    </xf>
    <xf numFmtId="4" fontId="39" fillId="31" borderId="10" xfId="0" applyNumberFormat="1" applyFont="1" applyFill="1" applyBorder="1" applyAlignment="1">
      <alignment horizontal="center" vertical="center" wrapText="1"/>
    </xf>
    <xf numFmtId="4" fontId="51" fillId="31" borderId="10" xfId="0" applyNumberFormat="1" applyFont="1" applyFill="1" applyBorder="1" applyAlignment="1">
      <alignment horizontal="center" vertical="center" wrapText="1"/>
    </xf>
    <xf numFmtId="4" fontId="40" fillId="31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4" fontId="6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7" fillId="0" borderId="10" xfId="66" applyFont="1" applyBorder="1" applyAlignment="1">
      <alignment horizontal="left" vertical="center" wrapText="1"/>
      <protection/>
    </xf>
    <xf numFmtId="0" fontId="39" fillId="0" borderId="14" xfId="0" applyFont="1" applyBorder="1" applyAlignment="1">
      <alignment horizontal="left" vertical="center" wrapText="1"/>
    </xf>
    <xf numFmtId="4" fontId="49" fillId="0" borderId="19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41" fillId="31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31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31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9" fontId="62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44" fontId="62" fillId="0" borderId="0" xfId="47" applyFont="1" applyFill="1" applyBorder="1" applyAlignment="1" applyProtection="1">
      <alignment horizontal="left" vertical="top" wrapText="1"/>
      <protection locked="0"/>
    </xf>
    <xf numFmtId="4" fontId="7" fillId="0" borderId="10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right" vertical="top" wrapText="1"/>
    </xf>
    <xf numFmtId="0" fontId="37" fillId="0" borderId="10" xfId="0" applyFont="1" applyBorder="1" applyAlignment="1">
      <alignment vertical="center"/>
    </xf>
    <xf numFmtId="49" fontId="64" fillId="0" borderId="10" xfId="0" applyNumberFormat="1" applyFont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vertical="center"/>
    </xf>
    <xf numFmtId="2" fontId="1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right" vertical="top" wrapText="1"/>
    </xf>
    <xf numFmtId="4" fontId="65" fillId="0" borderId="10" xfId="0" applyNumberFormat="1" applyFont="1" applyFill="1" applyBorder="1" applyAlignment="1">
      <alignment horizontal="right" vertical="top"/>
    </xf>
    <xf numFmtId="4" fontId="12" fillId="0" borderId="1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top" wrapText="1"/>
    </xf>
    <xf numFmtId="4" fontId="65" fillId="0" borderId="10" xfId="0" applyNumberFormat="1" applyFont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vertical="center" wrapText="1"/>
    </xf>
    <xf numFmtId="4" fontId="65" fillId="0" borderId="10" xfId="0" applyNumberFormat="1" applyFont="1" applyBorder="1" applyAlignment="1">
      <alignment horizontal="right" vertical="top" wrapText="1"/>
    </xf>
    <xf numFmtId="4" fontId="65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4" fontId="65" fillId="0" borderId="10" xfId="0" applyNumberFormat="1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vertical="top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49" fontId="64" fillId="0" borderId="10" xfId="0" applyNumberFormat="1" applyFont="1" applyBorder="1" applyAlignment="1">
      <alignment horizontal="left" vertical="top" wrapText="1"/>
    </xf>
    <xf numFmtId="49" fontId="64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center"/>
    </xf>
    <xf numFmtId="4" fontId="65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top" wrapText="1"/>
    </xf>
    <xf numFmtId="4" fontId="66" fillId="0" borderId="10" xfId="0" applyNumberFormat="1" applyFont="1" applyFill="1" applyBorder="1" applyAlignment="1">
      <alignment horizontal="right"/>
    </xf>
    <xf numFmtId="0" fontId="66" fillId="0" borderId="10" xfId="0" applyFont="1" applyFill="1" applyBorder="1" applyAlignment="1">
      <alignment horizontal="left" wrapText="1"/>
    </xf>
    <xf numFmtId="187" fontId="12" fillId="0" borderId="0" xfId="0" applyNumberFormat="1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2" fillId="0" borderId="0" xfId="65" applyFont="1" applyFill="1" applyBorder="1">
      <alignment/>
      <protection/>
    </xf>
    <xf numFmtId="0" fontId="70" fillId="0" borderId="0" xfId="65" applyFont="1" applyFill="1" applyBorder="1">
      <alignment/>
      <protection/>
    </xf>
    <xf numFmtId="49" fontId="42" fillId="0" borderId="0" xfId="65" applyNumberFormat="1" applyFont="1" applyFill="1" applyBorder="1" applyAlignment="1">
      <alignment vertical="top" wrapText="1"/>
      <protection/>
    </xf>
    <xf numFmtId="1" fontId="42" fillId="0" borderId="0" xfId="65" applyNumberFormat="1" applyFont="1" applyFill="1" applyBorder="1" applyAlignment="1">
      <alignment vertical="top" wrapText="1"/>
      <protection/>
    </xf>
    <xf numFmtId="184" fontId="70" fillId="0" borderId="0" xfId="65" applyNumberFormat="1" applyFont="1" applyFill="1" applyBorder="1">
      <alignment/>
      <protection/>
    </xf>
    <xf numFmtId="3" fontId="70" fillId="0" borderId="0" xfId="65" applyNumberFormat="1" applyFont="1" applyFill="1" applyBorder="1">
      <alignment/>
      <protection/>
    </xf>
    <xf numFmtId="0" fontId="2" fillId="0" borderId="0" xfId="74" applyFont="1" applyFill="1" applyBorder="1" applyAlignment="1" applyProtection="1">
      <alignment vertical="center" wrapText="1"/>
      <protection/>
    </xf>
    <xf numFmtId="0" fontId="71" fillId="0" borderId="0" xfId="65" applyFont="1" applyFill="1" applyBorder="1">
      <alignment/>
      <protection/>
    </xf>
    <xf numFmtId="0" fontId="2" fillId="0" borderId="0" xfId="65" applyFont="1" applyFill="1" applyBorder="1">
      <alignment/>
      <protection/>
    </xf>
    <xf numFmtId="49" fontId="72" fillId="0" borderId="0" xfId="65" applyNumberFormat="1" applyFont="1" applyFill="1" applyBorder="1" applyAlignment="1" applyProtection="1">
      <alignment vertical="top" wrapText="1"/>
      <protection locked="0"/>
    </xf>
    <xf numFmtId="0" fontId="9" fillId="0" borderId="0" xfId="65" applyFont="1" applyFill="1" applyBorder="1" applyAlignment="1">
      <alignment horizontal="right" vertical="top"/>
      <protection/>
    </xf>
    <xf numFmtId="49" fontId="73" fillId="0" borderId="0" xfId="65" applyNumberFormat="1" applyFont="1" applyFill="1" applyBorder="1" applyAlignment="1" applyProtection="1">
      <alignment horizontal="left" vertical="top" wrapText="1"/>
      <protection locked="0"/>
    </xf>
    <xf numFmtId="0" fontId="42" fillId="31" borderId="0" xfId="65" applyFont="1" applyFill="1" applyBorder="1">
      <alignment/>
      <protection/>
    </xf>
    <xf numFmtId="4" fontId="74" fillId="0" borderId="22" xfId="65" applyNumberFormat="1" applyFont="1" applyFill="1" applyBorder="1" applyAlignment="1">
      <alignment horizontal="center" vertical="top" wrapText="1"/>
      <protection/>
    </xf>
    <xf numFmtId="4" fontId="74" fillId="0" borderId="23" xfId="65" applyNumberFormat="1" applyFont="1" applyFill="1" applyBorder="1" applyAlignment="1">
      <alignment horizontal="center" vertical="top" wrapText="1"/>
      <protection/>
    </xf>
    <xf numFmtId="3" fontId="74" fillId="0" borderId="23" xfId="65" applyNumberFormat="1" applyFont="1" applyFill="1" applyBorder="1" applyAlignment="1">
      <alignment horizontal="left" vertical="top" wrapText="1"/>
      <protection/>
    </xf>
    <xf numFmtId="3" fontId="74" fillId="0" borderId="24" xfId="65" applyNumberFormat="1" applyFont="1" applyFill="1" applyBorder="1" applyAlignment="1">
      <alignment horizontal="center" vertical="top" wrapText="1"/>
      <protection/>
    </xf>
    <xf numFmtId="0" fontId="42" fillId="24" borderId="0" xfId="65" applyFont="1" applyFill="1" applyBorder="1">
      <alignment/>
      <protection/>
    </xf>
    <xf numFmtId="4" fontId="74" fillId="0" borderId="25" xfId="65" applyNumberFormat="1" applyFont="1" applyFill="1" applyBorder="1" applyAlignment="1">
      <alignment horizontal="center" vertical="top" wrapText="1"/>
      <protection/>
    </xf>
    <xf numFmtId="4" fontId="74" fillId="0" borderId="15" xfId="65" applyNumberFormat="1" applyFont="1" applyFill="1" applyBorder="1" applyAlignment="1">
      <alignment horizontal="center" vertical="top" wrapText="1"/>
      <protection/>
    </xf>
    <xf numFmtId="49" fontId="75" fillId="0" borderId="10" xfId="65" applyNumberFormat="1" applyFont="1" applyFill="1" applyBorder="1" applyAlignment="1">
      <alignment horizontal="left" vertical="top" wrapText="1"/>
      <protection/>
    </xf>
    <xf numFmtId="49" fontId="75" fillId="0" borderId="26" xfId="65" applyNumberFormat="1" applyFont="1" applyFill="1" applyBorder="1" applyAlignment="1">
      <alignment horizontal="center" vertical="top" wrapText="1"/>
      <protection/>
    </xf>
    <xf numFmtId="4" fontId="74" fillId="0" borderId="10" xfId="65" applyNumberFormat="1" applyFont="1" applyFill="1" applyBorder="1" applyAlignment="1">
      <alignment horizontal="center" vertical="top" wrapText="1"/>
      <protection/>
    </xf>
    <xf numFmtId="49" fontId="75" fillId="0" borderId="10" xfId="65" applyNumberFormat="1" applyFont="1" applyFill="1" applyBorder="1" applyAlignment="1">
      <alignment vertical="top" wrapText="1"/>
      <protection/>
    </xf>
    <xf numFmtId="4" fontId="74" fillId="34" borderId="25" xfId="65" applyNumberFormat="1" applyFont="1" applyFill="1" applyBorder="1" applyAlignment="1">
      <alignment horizontal="center" vertical="top" wrapText="1"/>
      <protection/>
    </xf>
    <xf numFmtId="4" fontId="74" fillId="34" borderId="10" xfId="65" applyNumberFormat="1" applyFont="1" applyFill="1" applyBorder="1" applyAlignment="1">
      <alignment horizontal="center" vertical="top" wrapText="1"/>
      <protection/>
    </xf>
    <xf numFmtId="49" fontId="75" fillId="34" borderId="10" xfId="65" applyNumberFormat="1" applyFont="1" applyFill="1" applyBorder="1" applyAlignment="1">
      <alignment vertical="top" wrapText="1"/>
      <protection/>
    </xf>
    <xf numFmtId="49" fontId="75" fillId="34" borderId="26" xfId="65" applyNumberFormat="1" applyFont="1" applyFill="1" applyBorder="1" applyAlignment="1">
      <alignment horizontal="center" vertical="top" wrapText="1"/>
      <protection/>
    </xf>
    <xf numFmtId="4" fontId="75" fillId="0" borderId="10" xfId="65" applyNumberFormat="1" applyFont="1" applyFill="1" applyBorder="1" applyAlignment="1">
      <alignment horizontal="center" vertical="top" wrapText="1"/>
      <protection/>
    </xf>
    <xf numFmtId="0" fontId="2" fillId="24" borderId="0" xfId="65" applyFont="1" applyFill="1" applyBorder="1">
      <alignment/>
      <protection/>
    </xf>
    <xf numFmtId="0" fontId="2" fillId="31" borderId="0" xfId="65" applyFont="1" applyFill="1" applyBorder="1">
      <alignment/>
      <protection/>
    </xf>
    <xf numFmtId="0" fontId="76" fillId="0" borderId="0" xfId="65" applyFont="1" applyFill="1" applyBorder="1">
      <alignment/>
      <protection/>
    </xf>
    <xf numFmtId="0" fontId="77" fillId="0" borderId="25" xfId="65" applyFont="1" applyFill="1" applyBorder="1" applyAlignment="1">
      <alignment horizontal="center" vertical="center" wrapText="1"/>
      <protection/>
    </xf>
    <xf numFmtId="0" fontId="76" fillId="0" borderId="10" xfId="65" applyFont="1" applyFill="1" applyBorder="1" applyAlignment="1">
      <alignment horizontal="center" vertical="center" wrapText="1"/>
      <protection/>
    </xf>
    <xf numFmtId="0" fontId="77" fillId="0" borderId="10" xfId="65" applyFont="1" applyFill="1" applyBorder="1" applyAlignment="1">
      <alignment horizontal="center" vertical="center" wrapText="1"/>
      <protection/>
    </xf>
    <xf numFmtId="49" fontId="76" fillId="0" borderId="10" xfId="65" applyNumberFormat="1" applyFont="1" applyFill="1" applyBorder="1" applyAlignment="1">
      <alignment horizontal="center" vertical="top" wrapText="1"/>
      <protection/>
    </xf>
    <xf numFmtId="49" fontId="76" fillId="0" borderId="26" xfId="65" applyNumberFormat="1" applyFont="1" applyFill="1" applyBorder="1" applyAlignment="1">
      <alignment horizontal="center" vertical="top" wrapText="1"/>
      <protection/>
    </xf>
    <xf numFmtId="0" fontId="74" fillId="0" borderId="25" xfId="65" applyFont="1" applyFill="1" applyBorder="1" applyAlignment="1">
      <alignment horizontal="center" vertical="center"/>
      <protection/>
    </xf>
    <xf numFmtId="0" fontId="74" fillId="0" borderId="10" xfId="65" applyFont="1" applyFill="1" applyBorder="1" applyAlignment="1">
      <alignment horizontal="center" vertical="center" wrapText="1"/>
      <protection/>
    </xf>
    <xf numFmtId="0" fontId="74" fillId="0" borderId="10" xfId="65" applyFont="1" applyFill="1" applyBorder="1" applyAlignment="1">
      <alignment horizontal="center" vertical="center"/>
      <protection/>
    </xf>
    <xf numFmtId="0" fontId="74" fillId="0" borderId="10" xfId="65" applyFont="1" applyFill="1" applyBorder="1" applyAlignment="1">
      <alignment horizontal="center" vertical="center" wrapText="1"/>
      <protection/>
    </xf>
    <xf numFmtId="49" fontId="74" fillId="0" borderId="10" xfId="65" applyNumberFormat="1" applyFont="1" applyFill="1" applyBorder="1" applyAlignment="1">
      <alignment horizontal="center" vertical="center" wrapText="1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0" fontId="74" fillId="0" borderId="27" xfId="65" applyFont="1" applyFill="1" applyBorder="1" applyAlignment="1">
      <alignment horizontal="center" vertical="center"/>
      <protection/>
    </xf>
    <xf numFmtId="0" fontId="74" fillId="0" borderId="28" xfId="65" applyFont="1" applyFill="1" applyBorder="1" applyAlignment="1">
      <alignment horizontal="center" vertical="center"/>
      <protection/>
    </xf>
    <xf numFmtId="0" fontId="74" fillId="0" borderId="28" xfId="65" applyFont="1" applyFill="1" applyBorder="1" applyAlignment="1">
      <alignment horizontal="center" vertical="center" wrapText="1"/>
      <protection/>
    </xf>
    <xf numFmtId="49" fontId="74" fillId="0" borderId="28" xfId="65" applyNumberFormat="1" applyFont="1" applyFill="1" applyBorder="1" applyAlignment="1">
      <alignment horizontal="center" vertical="center" wrapText="1"/>
      <protection/>
    </xf>
    <xf numFmtId="0" fontId="71" fillId="0" borderId="29" xfId="65" applyFont="1" applyFill="1" applyBorder="1" applyAlignment="1">
      <alignment horizontal="center" vertical="center" wrapText="1"/>
      <protection/>
    </xf>
    <xf numFmtId="0" fontId="78" fillId="0" borderId="0" xfId="65" applyFont="1" applyFill="1" applyBorder="1" applyAlignment="1">
      <alignment horizontal="center"/>
      <protection/>
    </xf>
    <xf numFmtId="1" fontId="79" fillId="0" borderId="0" xfId="65" applyNumberFormat="1" applyFont="1" applyFill="1" applyBorder="1" applyAlignment="1">
      <alignment horizontal="center" vertical="top" wrapText="1"/>
      <protection/>
    </xf>
    <xf numFmtId="0" fontId="80" fillId="0" borderId="0" xfId="65" applyFont="1" applyAlignment="1">
      <alignment/>
      <protection/>
    </xf>
    <xf numFmtId="0" fontId="37" fillId="0" borderId="0" xfId="65" applyFont="1" applyAlignment="1">
      <alignment horizontal="right"/>
      <protection/>
    </xf>
    <xf numFmtId="0" fontId="37" fillId="0" borderId="0" xfId="65" applyFont="1" applyAlignment="1">
      <alignment horizontal="center"/>
      <protection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" fontId="8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4" fontId="84" fillId="0" borderId="10" xfId="0" applyNumberFormat="1" applyFont="1" applyFill="1" applyBorder="1" applyAlignment="1">
      <alignment horizontal="right" vertical="center" wrapText="1"/>
    </xf>
    <xf numFmtId="4" fontId="84" fillId="30" borderId="10" xfId="0" applyNumberFormat="1" applyFont="1" applyFill="1" applyBorder="1" applyAlignment="1">
      <alignment horizontal="right" vertical="center" wrapText="1"/>
    </xf>
    <xf numFmtId="0" fontId="13" fillId="30" borderId="10" xfId="0" applyFont="1" applyFill="1" applyBorder="1" applyAlignment="1">
      <alignment horizontal="left" vertical="top" wrapText="1"/>
    </xf>
    <xf numFmtId="0" fontId="13" fillId="30" borderId="10" xfId="0" applyFont="1" applyFill="1" applyBorder="1" applyAlignment="1">
      <alignment horizontal="center" vertical="top" wrapText="1"/>
    </xf>
    <xf numFmtId="4" fontId="38" fillId="30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/>
    </xf>
    <xf numFmtId="0" fontId="8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wrapText="1"/>
    </xf>
    <xf numFmtId="3" fontId="8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15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3" fontId="87" fillId="4" borderId="0" xfId="75" applyNumberFormat="1" applyFont="1" applyFill="1" applyBorder="1" applyAlignment="1">
      <alignment/>
      <protection/>
    </xf>
    <xf numFmtId="4" fontId="13" fillId="4" borderId="10" xfId="75" applyNumberFormat="1" applyFont="1" applyFill="1" applyBorder="1" applyAlignment="1">
      <alignment/>
      <protection/>
    </xf>
    <xf numFmtId="0" fontId="88" fillId="4" borderId="10" xfId="75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17" fillId="4" borderId="10" xfId="0" applyNumberFormat="1" applyFont="1" applyFill="1" applyBorder="1" applyAlignment="1">
      <alignment horizontal="right"/>
    </xf>
    <xf numFmtId="3" fontId="86" fillId="0" borderId="0" xfId="0" applyNumberFormat="1" applyFont="1" applyFill="1" applyBorder="1" applyAlignment="1">
      <alignment/>
    </xf>
    <xf numFmtId="4" fontId="12" fillId="0" borderId="10" xfId="75" applyNumberFormat="1" applyFont="1" applyFill="1" applyBorder="1" applyAlignment="1">
      <alignment/>
      <protection/>
    </xf>
    <xf numFmtId="4" fontId="12" fillId="0" borderId="10" xfId="75" applyNumberFormat="1" applyFont="1" applyBorder="1" applyAlignment="1">
      <alignment horizontal="right"/>
      <protection/>
    </xf>
    <xf numFmtId="0" fontId="89" fillId="0" borderId="10" xfId="75" applyFont="1" applyBorder="1" applyAlignment="1">
      <alignment vertical="top" wrapText="1"/>
      <protection/>
    </xf>
    <xf numFmtId="0" fontId="90" fillId="0" borderId="10" xfId="0" applyFont="1" applyBorder="1" applyAlignment="1">
      <alignment horizontal="right"/>
    </xf>
    <xf numFmtId="0" fontId="88" fillId="4" borderId="10" xfId="75" applyFont="1" applyFill="1" applyBorder="1" applyAlignment="1">
      <alignment horizontal="left" vertical="center" wrapText="1"/>
      <protection/>
    </xf>
    <xf numFmtId="0" fontId="89" fillId="0" borderId="10" xfId="75" applyFont="1" applyBorder="1" applyAlignment="1">
      <alignment vertical="top"/>
      <protection/>
    </xf>
    <xf numFmtId="0" fontId="89" fillId="0" borderId="10" xfId="75" applyFont="1" applyBorder="1" applyAlignment="1">
      <alignment horizontal="left" vertical="center"/>
      <protection/>
    </xf>
    <xf numFmtId="0" fontId="89" fillId="0" borderId="10" xfId="75" applyFont="1" applyBorder="1" applyAlignment="1">
      <alignment vertical="center"/>
      <protection/>
    </xf>
    <xf numFmtId="0" fontId="17" fillId="4" borderId="10" xfId="0" applyNumberFormat="1" applyFont="1" applyFill="1" applyBorder="1" applyAlignment="1">
      <alignment horizontal="center"/>
    </xf>
    <xf numFmtId="0" fontId="90" fillId="0" borderId="10" xfId="0" applyFont="1" applyBorder="1" applyAlignment="1">
      <alignment/>
    </xf>
    <xf numFmtId="0" fontId="86" fillId="0" borderId="0" xfId="0" applyFont="1" applyFill="1" applyAlignment="1">
      <alignment/>
    </xf>
    <xf numFmtId="0" fontId="89" fillId="0" borderId="10" xfId="75" applyFont="1" applyFill="1" applyBorder="1" applyAlignment="1">
      <alignment vertical="top"/>
      <protection/>
    </xf>
    <xf numFmtId="0" fontId="17" fillId="0" borderId="10" xfId="0" applyFont="1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textRotation="255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 readingOrder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 readingOrder="1"/>
    </xf>
    <xf numFmtId="0" fontId="86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65">
      <alignment/>
      <protection/>
    </xf>
    <xf numFmtId="0" fontId="43" fillId="0" borderId="0" xfId="65" applyFont="1">
      <alignment/>
      <protection/>
    </xf>
    <xf numFmtId="0" fontId="43" fillId="0" borderId="0" xfId="65" applyFont="1">
      <alignment/>
      <protection/>
    </xf>
    <xf numFmtId="49" fontId="41" fillId="0" borderId="0" xfId="65" applyNumberFormat="1" applyAlignment="1" applyProtection="1">
      <alignment vertical="top"/>
      <protection locked="0"/>
    </xf>
    <xf numFmtId="49" fontId="41" fillId="0" borderId="0" xfId="65" applyNumberFormat="1" applyFont="1">
      <alignment/>
      <protection/>
    </xf>
    <xf numFmtId="49" fontId="41" fillId="0" borderId="0" xfId="65" applyNumberFormat="1" applyFont="1" applyAlignment="1">
      <alignment horizontal="center" vertical="center"/>
      <protection/>
    </xf>
    <xf numFmtId="0" fontId="60" fillId="0" borderId="0" xfId="65" applyFont="1">
      <alignment/>
      <protection/>
    </xf>
    <xf numFmtId="0" fontId="93" fillId="0" borderId="0" xfId="65" applyFont="1">
      <alignment/>
      <protection/>
    </xf>
    <xf numFmtId="0" fontId="93" fillId="0" borderId="0" xfId="65" applyFont="1">
      <alignment/>
      <protection/>
    </xf>
    <xf numFmtId="3" fontId="93" fillId="0" borderId="0" xfId="65" applyNumberFormat="1" applyFont="1">
      <alignment/>
      <protection/>
    </xf>
    <xf numFmtId="184" fontId="43" fillId="0" borderId="0" xfId="65" applyNumberFormat="1" applyFont="1">
      <alignment/>
      <protection/>
    </xf>
    <xf numFmtId="0" fontId="43" fillId="0" borderId="0" xfId="65" applyFont="1" applyAlignment="1">
      <alignment horizontal="left" vertical="center"/>
      <protection/>
    </xf>
    <xf numFmtId="0" fontId="41" fillId="0" borderId="0" xfId="65" applyAlignment="1">
      <alignment horizontal="left" vertical="center"/>
      <protection/>
    </xf>
    <xf numFmtId="0" fontId="43" fillId="0" borderId="0" xfId="65" applyFont="1" applyAlignment="1">
      <alignment horizontal="left" vertical="center"/>
      <protection/>
    </xf>
    <xf numFmtId="49" fontId="41" fillId="0" borderId="0" xfId="65" applyNumberFormat="1" applyFont="1" applyAlignment="1">
      <alignment horizontal="center" vertical="center"/>
      <protection/>
    </xf>
    <xf numFmtId="49" fontId="62" fillId="0" borderId="0" xfId="65" applyNumberFormat="1" applyFont="1" applyFill="1" applyBorder="1" applyAlignment="1" applyProtection="1">
      <alignment horizontal="right" vertical="top" wrapText="1"/>
      <protection locked="0"/>
    </xf>
    <xf numFmtId="0" fontId="11" fillId="0" borderId="0" xfId="65" applyFont="1" applyAlignment="1">
      <alignment horizontal="left" vertical="center"/>
      <protection/>
    </xf>
    <xf numFmtId="0" fontId="7" fillId="0" borderId="0" xfId="65" applyFont="1" applyAlignment="1">
      <alignment horizontal="left" vertical="center"/>
      <protection/>
    </xf>
    <xf numFmtId="49" fontId="62" fillId="0" borderId="0" xfId="65" applyNumberFormat="1" applyFont="1" applyFill="1" applyBorder="1" applyAlignment="1" applyProtection="1">
      <alignment horizontal="center" vertical="top" wrapText="1"/>
      <protection locked="0"/>
    </xf>
    <xf numFmtId="49" fontId="94" fillId="0" borderId="0" xfId="44" applyNumberFormat="1" applyFont="1" applyAlignment="1" applyProtection="1">
      <alignment horizontal="center" vertical="center"/>
      <protection/>
    </xf>
    <xf numFmtId="3" fontId="43" fillId="0" borderId="0" xfId="65" applyNumberFormat="1" applyFont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49" fontId="11" fillId="0" borderId="0" xfId="65" applyNumberFormat="1" applyFont="1" applyAlignment="1" applyProtection="1">
      <alignment vertical="top"/>
      <protection locked="0"/>
    </xf>
    <xf numFmtId="49" fontId="41" fillId="0" borderId="0" xfId="65" applyNumberFormat="1" applyFont="1" applyAlignment="1">
      <alignment horizontal="center" vertical="top"/>
      <protection/>
    </xf>
    <xf numFmtId="0" fontId="95" fillId="30" borderId="0" xfId="65" applyFont="1" applyFill="1">
      <alignment/>
      <protection/>
    </xf>
    <xf numFmtId="4" fontId="96" fillId="30" borderId="10" xfId="65" applyNumberFormat="1" applyFont="1" applyFill="1" applyBorder="1" applyAlignment="1">
      <alignment horizontal="center" vertical="top" wrapText="1"/>
      <protection/>
    </xf>
    <xf numFmtId="49" fontId="96" fillId="30" borderId="10" xfId="44" applyNumberFormat="1" applyFont="1" applyFill="1" applyBorder="1" applyAlignment="1" applyProtection="1">
      <alignment vertical="top" wrapText="1"/>
      <protection locked="0"/>
    </xf>
    <xf numFmtId="49" fontId="97" fillId="30" borderId="10" xfId="65" applyNumberFormat="1" applyFont="1" applyFill="1" applyBorder="1" applyAlignment="1" applyProtection="1">
      <alignment horizontal="center" vertical="top" wrapText="1"/>
      <protection locked="0"/>
    </xf>
    <xf numFmtId="0" fontId="95" fillId="30" borderId="10" xfId="65" applyFont="1" applyFill="1" applyBorder="1">
      <alignment/>
      <protection/>
    </xf>
    <xf numFmtId="4" fontId="98" fillId="0" borderId="10" xfId="65" applyNumberFormat="1" applyFont="1" applyFill="1" applyBorder="1" applyAlignment="1">
      <alignment horizontal="center" vertical="top" wrapText="1"/>
      <protection/>
    </xf>
    <xf numFmtId="4" fontId="99" fillId="0" borderId="10" xfId="65" applyNumberFormat="1" applyFont="1" applyFill="1" applyBorder="1" applyAlignment="1">
      <alignment horizontal="center" vertical="top" wrapText="1"/>
      <protection/>
    </xf>
    <xf numFmtId="4" fontId="63" fillId="0" borderId="10" xfId="65" applyNumberFormat="1" applyFont="1" applyFill="1" applyBorder="1" applyAlignment="1">
      <alignment horizontal="center" vertical="top" wrapText="1"/>
      <protection/>
    </xf>
    <xf numFmtId="49" fontId="17" fillId="0" borderId="10" xfId="65" applyNumberFormat="1" applyFont="1" applyFill="1" applyBorder="1" applyAlignment="1">
      <alignment vertical="top" wrapText="1"/>
      <protection/>
    </xf>
    <xf numFmtId="49" fontId="64" fillId="0" borderId="10" xfId="65" applyNumberFormat="1" applyFont="1" applyBorder="1" applyAlignment="1">
      <alignment horizontal="center" vertical="top" wrapText="1"/>
      <protection/>
    </xf>
    <xf numFmtId="4" fontId="99" fillId="30" borderId="10" xfId="65" applyNumberFormat="1" applyFont="1" applyFill="1" applyBorder="1" applyAlignment="1">
      <alignment horizontal="center" vertical="top" wrapText="1"/>
      <protection/>
    </xf>
    <xf numFmtId="49" fontId="95" fillId="30" borderId="10" xfId="65" applyNumberFormat="1" applyFont="1" applyFill="1" applyBorder="1" applyAlignment="1" applyProtection="1">
      <alignment vertical="top" wrapText="1"/>
      <protection locked="0"/>
    </xf>
    <xf numFmtId="49" fontId="95" fillId="30" borderId="10" xfId="65" applyNumberFormat="1" applyFont="1" applyFill="1" applyBorder="1" applyAlignment="1">
      <alignment horizontal="center" vertical="top" wrapText="1"/>
      <protection/>
    </xf>
    <xf numFmtId="4" fontId="100" fillId="0" borderId="10" xfId="65" applyNumberFormat="1" applyFont="1" applyFill="1" applyBorder="1" applyAlignment="1">
      <alignment horizontal="center" vertical="top" wrapText="1"/>
      <protection/>
    </xf>
    <xf numFmtId="49" fontId="64" fillId="0" borderId="10" xfId="65" applyNumberFormat="1" applyFont="1" applyBorder="1" applyAlignment="1">
      <alignment horizontal="center" vertical="top" wrapText="1"/>
      <protection/>
    </xf>
    <xf numFmtId="49" fontId="64" fillId="0" borderId="10" xfId="65" applyNumberFormat="1" applyFont="1" applyFill="1" applyBorder="1" applyAlignment="1">
      <alignment horizontal="center" vertical="top" wrapText="1"/>
      <protection/>
    </xf>
    <xf numFmtId="49" fontId="13" fillId="30" borderId="10" xfId="65" applyNumberFormat="1" applyFont="1" applyFill="1" applyBorder="1" applyAlignment="1">
      <alignment vertical="top" wrapText="1"/>
      <protection/>
    </xf>
    <xf numFmtId="49" fontId="12" fillId="30" borderId="10" xfId="65" applyNumberFormat="1" applyFont="1" applyFill="1" applyBorder="1" applyAlignment="1">
      <alignment horizontal="center" vertical="top" wrapText="1"/>
      <protection/>
    </xf>
    <xf numFmtId="4" fontId="10" fillId="30" borderId="10" xfId="65" applyNumberFormat="1" applyFont="1" applyFill="1" applyBorder="1" applyAlignment="1">
      <alignment horizontal="center" vertical="top" wrapText="1"/>
      <protection/>
    </xf>
    <xf numFmtId="49" fontId="13" fillId="30" borderId="10" xfId="65" applyNumberFormat="1" applyFont="1" applyFill="1" applyBorder="1" applyAlignment="1">
      <alignment vertical="top" wrapText="1"/>
      <protection/>
    </xf>
    <xf numFmtId="49" fontId="86" fillId="30" borderId="10" xfId="65" applyNumberFormat="1" applyFont="1" applyFill="1" applyBorder="1" applyAlignment="1">
      <alignment horizontal="center" vertical="top" wrapText="1"/>
      <protection/>
    </xf>
    <xf numFmtId="0" fontId="101" fillId="30" borderId="10" xfId="65" applyFont="1" applyFill="1" applyBorder="1">
      <alignment/>
      <protection/>
    </xf>
    <xf numFmtId="4" fontId="65" fillId="0" borderId="10" xfId="65" applyNumberFormat="1" applyFont="1" applyFill="1" applyBorder="1" applyAlignment="1">
      <alignment horizontal="center" vertical="top"/>
      <protection/>
    </xf>
    <xf numFmtId="4" fontId="98" fillId="0" borderId="10" xfId="65" applyNumberFormat="1" applyFont="1" applyFill="1" applyBorder="1" applyAlignment="1">
      <alignment horizontal="center" vertical="top" wrapText="1"/>
      <protection/>
    </xf>
    <xf numFmtId="4" fontId="65" fillId="0" borderId="10" xfId="65" applyNumberFormat="1" applyFont="1" applyFill="1" applyBorder="1" applyAlignment="1">
      <alignment horizontal="center" vertical="top" wrapText="1"/>
      <protection/>
    </xf>
    <xf numFmtId="4" fontId="65" fillId="0" borderId="10" xfId="65" applyNumberFormat="1" applyFont="1" applyFill="1" applyBorder="1" applyAlignment="1">
      <alignment horizontal="center" vertical="top" wrapText="1"/>
      <protection/>
    </xf>
    <xf numFmtId="49" fontId="17" fillId="0" borderId="10" xfId="65" applyNumberFormat="1" applyFont="1" applyBorder="1" applyAlignment="1" applyProtection="1">
      <alignment vertical="top" wrapText="1"/>
      <protection locked="0"/>
    </xf>
    <xf numFmtId="0" fontId="43" fillId="30" borderId="0" xfId="65" applyFont="1" applyFill="1">
      <alignment/>
      <protection/>
    </xf>
    <xf numFmtId="4" fontId="98" fillId="30" borderId="10" xfId="65" applyNumberFormat="1" applyFont="1" applyFill="1" applyBorder="1" applyAlignment="1">
      <alignment horizontal="center" vertical="top" wrapText="1"/>
      <protection/>
    </xf>
    <xf numFmtId="49" fontId="102" fillId="30" borderId="10" xfId="65" applyNumberFormat="1" applyFont="1" applyFill="1" applyBorder="1" applyAlignment="1">
      <alignment vertical="top" wrapText="1"/>
      <protection/>
    </xf>
    <xf numFmtId="4" fontId="65" fillId="0" borderId="10" xfId="65" applyNumberFormat="1" applyFont="1" applyFill="1" applyBorder="1" applyAlignment="1">
      <alignment horizontal="center" vertical="top"/>
      <protection/>
    </xf>
    <xf numFmtId="49" fontId="17" fillId="0" borderId="10" xfId="65" applyNumberFormat="1" applyFont="1" applyBorder="1" applyAlignment="1" applyProtection="1">
      <alignment vertical="top" wrapText="1"/>
      <protection locked="0"/>
    </xf>
    <xf numFmtId="49" fontId="12" fillId="0" borderId="10" xfId="65" applyNumberFormat="1" applyFont="1" applyBorder="1" applyAlignment="1" applyProtection="1">
      <alignment vertical="top" wrapText="1"/>
      <protection locked="0"/>
    </xf>
    <xf numFmtId="3" fontId="98" fillId="0" borderId="10" xfId="65" applyNumberFormat="1" applyFont="1" applyFill="1" applyBorder="1" applyAlignment="1">
      <alignment horizontal="center" vertical="top" wrapText="1"/>
      <protection/>
    </xf>
    <xf numFmtId="3" fontId="65" fillId="0" borderId="10" xfId="65" applyNumberFormat="1" applyFont="1" applyFill="1" applyBorder="1" applyAlignment="1">
      <alignment horizontal="center" vertical="top" wrapText="1"/>
      <protection/>
    </xf>
    <xf numFmtId="3" fontId="98" fillId="0" borderId="10" xfId="65" applyNumberFormat="1" applyFont="1" applyFill="1" applyBorder="1" applyAlignment="1">
      <alignment horizontal="center" vertical="top" wrapText="1"/>
      <protection/>
    </xf>
    <xf numFmtId="49" fontId="17" fillId="0" borderId="10" xfId="65" applyNumberFormat="1" applyFont="1" applyFill="1" applyBorder="1" applyAlignment="1">
      <alignment vertical="top" wrapText="1"/>
      <protection/>
    </xf>
    <xf numFmtId="49" fontId="64" fillId="0" borderId="10" xfId="65" applyNumberFormat="1" applyFont="1" applyFill="1" applyBorder="1" applyAlignment="1">
      <alignment horizontal="center" vertical="top" wrapText="1"/>
      <protection/>
    </xf>
    <xf numFmtId="49" fontId="102" fillId="30" borderId="10" xfId="65" applyNumberFormat="1" applyFont="1" applyFill="1" applyBorder="1" applyAlignment="1" applyProtection="1">
      <alignment vertical="top" wrapText="1"/>
      <protection locked="0"/>
    </xf>
    <xf numFmtId="4" fontId="98" fillId="0" borderId="10" xfId="65" applyNumberFormat="1" applyFont="1" applyBorder="1" applyAlignment="1">
      <alignment horizontal="center" vertical="top" wrapText="1"/>
      <protection/>
    </xf>
    <xf numFmtId="4" fontId="65" fillId="0" borderId="10" xfId="65" applyNumberFormat="1" applyFont="1" applyBorder="1" applyAlignment="1">
      <alignment horizontal="center" vertical="top" wrapText="1"/>
      <protection/>
    </xf>
    <xf numFmtId="4" fontId="98" fillId="0" borderId="10" xfId="65" applyNumberFormat="1" applyFont="1" applyBorder="1" applyAlignment="1">
      <alignment horizontal="center" vertical="top" wrapText="1"/>
      <protection/>
    </xf>
    <xf numFmtId="49" fontId="64" fillId="0" borderId="10" xfId="65" applyNumberFormat="1" applyFont="1" applyBorder="1" applyAlignment="1">
      <alignment horizontal="left" vertical="top" wrapText="1"/>
      <protection/>
    </xf>
    <xf numFmtId="49" fontId="12" fillId="0" borderId="10" xfId="65" applyNumberFormat="1" applyFont="1" applyFill="1" applyBorder="1" applyAlignment="1">
      <alignment vertical="top" wrapText="1"/>
      <protection/>
    </xf>
    <xf numFmtId="4" fontId="98" fillId="30" borderId="10" xfId="65" applyNumberFormat="1" applyFont="1" applyFill="1" applyBorder="1" applyAlignment="1">
      <alignment horizontal="center" vertical="top" wrapText="1"/>
      <protection/>
    </xf>
    <xf numFmtId="49" fontId="95" fillId="30" borderId="10" xfId="65" applyNumberFormat="1" applyFont="1" applyFill="1" applyBorder="1" applyAlignment="1">
      <alignment vertical="top" wrapText="1"/>
      <protection/>
    </xf>
    <xf numFmtId="4" fontId="65" fillId="0" borderId="10" xfId="65" applyNumberFormat="1" applyFont="1" applyBorder="1" applyAlignment="1">
      <alignment horizontal="center" vertical="top" wrapText="1"/>
      <protection/>
    </xf>
    <xf numFmtId="4" fontId="103" fillId="0" borderId="10" xfId="65" applyNumberFormat="1" applyFont="1" applyBorder="1" applyAlignment="1">
      <alignment horizontal="center" vertical="top" wrapText="1"/>
      <protection/>
    </xf>
    <xf numFmtId="49" fontId="95" fillId="30" borderId="10" xfId="65" applyNumberFormat="1" applyFont="1" applyFill="1" applyBorder="1" applyAlignment="1" applyProtection="1">
      <alignment vertical="top" wrapText="1"/>
      <protection locked="0"/>
    </xf>
    <xf numFmtId="49" fontId="12" fillId="0" borderId="10" xfId="65" applyNumberFormat="1" applyFont="1" applyFill="1" applyBorder="1" applyAlignment="1">
      <alignment vertical="top" wrapText="1"/>
      <protection/>
    </xf>
    <xf numFmtId="0" fontId="41" fillId="0" borderId="0" xfId="65" applyBorder="1">
      <alignment/>
      <protection/>
    </xf>
    <xf numFmtId="0" fontId="17" fillId="0" borderId="10" xfId="65" applyFont="1" applyBorder="1">
      <alignment/>
      <protection/>
    </xf>
    <xf numFmtId="0" fontId="17" fillId="0" borderId="10" xfId="65" applyNumberFormat="1" applyFont="1" applyBorder="1" applyAlignment="1" applyProtection="1">
      <alignment vertical="top" wrapText="1"/>
      <protection locked="0"/>
    </xf>
    <xf numFmtId="184" fontId="43" fillId="0" borderId="0" xfId="65" applyNumberFormat="1" applyFont="1" applyBorder="1" applyAlignment="1">
      <alignment horizontal="center" vertical="center" wrapText="1"/>
      <protection/>
    </xf>
    <xf numFmtId="184" fontId="41" fillId="0" borderId="0" xfId="65" applyNumberFormat="1" applyFont="1" applyBorder="1" applyAlignment="1">
      <alignment horizontal="center" vertical="center" wrapText="1"/>
      <protection/>
    </xf>
    <xf numFmtId="0" fontId="51" fillId="0" borderId="0" xfId="65" applyFont="1" applyBorder="1" applyAlignment="1" applyProtection="1">
      <alignment vertical="top" wrapText="1"/>
      <protection locked="0"/>
    </xf>
    <xf numFmtId="0" fontId="17" fillId="0" borderId="10" xfId="65" applyFont="1" applyBorder="1" applyAlignment="1">
      <alignment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95" fillId="30" borderId="0" xfId="65" applyFont="1" applyFill="1" applyBorder="1">
      <alignment/>
      <protection/>
    </xf>
    <xf numFmtId="0" fontId="95" fillId="0" borderId="0" xfId="65" applyFont="1" applyFill="1">
      <alignment/>
      <protection/>
    </xf>
    <xf numFmtId="0" fontId="12" fillId="0" borderId="10" xfId="65" applyFont="1" applyBorder="1" applyAlignment="1">
      <alignment vertical="center" wrapText="1"/>
      <protection/>
    </xf>
    <xf numFmtId="0" fontId="17" fillId="0" borderId="10" xfId="65" applyFont="1" applyBorder="1" applyAlignment="1">
      <alignment horizontal="center" vertical="center" wrapText="1"/>
      <protection/>
    </xf>
    <xf numFmtId="49" fontId="12" fillId="0" borderId="10" xfId="65" applyNumberFormat="1" applyFont="1" applyBorder="1" applyAlignment="1" applyProtection="1">
      <alignment vertical="top" wrapText="1"/>
      <protection locked="0"/>
    </xf>
    <xf numFmtId="4" fontId="98" fillId="31" borderId="10" xfId="65" applyNumberFormat="1" applyFont="1" applyFill="1" applyBorder="1" applyAlignment="1">
      <alignment horizontal="center" vertical="top" wrapText="1"/>
      <protection/>
    </xf>
    <xf numFmtId="0" fontId="12" fillId="0" borderId="10" xfId="65" applyNumberFormat="1" applyFont="1" applyBorder="1" applyAlignment="1" applyProtection="1">
      <alignment vertical="top" wrapText="1"/>
      <protection locked="0"/>
    </xf>
    <xf numFmtId="4" fontId="99" fillId="0" borderId="10" xfId="65" applyNumberFormat="1" applyFont="1" applyFill="1" applyBorder="1" applyAlignment="1">
      <alignment horizontal="center" vertical="top" wrapText="1"/>
      <protection/>
    </xf>
    <xf numFmtId="49" fontId="64" fillId="31" borderId="10" xfId="65" applyNumberFormat="1" applyFont="1" applyFill="1" applyBorder="1" applyAlignment="1" applyProtection="1">
      <alignment vertical="top" wrapText="1"/>
      <protection locked="0"/>
    </xf>
    <xf numFmtId="0" fontId="41" fillId="30" borderId="0" xfId="65" applyFill="1">
      <alignment/>
      <protection/>
    </xf>
    <xf numFmtId="0" fontId="41" fillId="0" borderId="0" xfId="65" applyFill="1">
      <alignment/>
      <protection/>
    </xf>
    <xf numFmtId="0" fontId="104" fillId="0" borderId="10" xfId="65" applyFont="1" applyFill="1" applyBorder="1" applyAlignment="1">
      <alignment horizontal="center" vertical="center" wrapText="1"/>
      <protection/>
    </xf>
    <xf numFmtId="0" fontId="104" fillId="0" borderId="10" xfId="65" applyFont="1" applyBorder="1" applyAlignment="1">
      <alignment horizontal="center" vertical="center" wrapText="1"/>
      <protection/>
    </xf>
    <xf numFmtId="49" fontId="105" fillId="0" borderId="10" xfId="65" applyNumberFormat="1" applyFont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textRotation="255"/>
      <protection/>
    </xf>
    <xf numFmtId="0" fontId="106" fillId="0" borderId="10" xfId="65" applyFont="1" applyFill="1" applyBorder="1" applyAlignment="1">
      <alignment horizontal="center" vertical="center" wrapText="1"/>
      <protection/>
    </xf>
    <xf numFmtId="0" fontId="45" fillId="0" borderId="10" xfId="65" applyFont="1" applyFill="1" applyBorder="1" applyAlignment="1">
      <alignment horizontal="center" vertical="center" wrapText="1"/>
      <protection/>
    </xf>
    <xf numFmtId="0" fontId="45" fillId="0" borderId="10" xfId="65" applyFont="1" applyFill="1" applyBorder="1" applyAlignment="1">
      <alignment horizontal="center" vertical="center"/>
      <protection/>
    </xf>
    <xf numFmtId="49" fontId="45" fillId="0" borderId="10" xfId="65" applyNumberFormat="1" applyFont="1" applyBorder="1" applyAlignment="1">
      <alignment horizontal="center" vertical="center" wrapText="1"/>
      <protection/>
    </xf>
    <xf numFmtId="49" fontId="43" fillId="0" borderId="10" xfId="65" applyNumberFormat="1" applyFont="1" applyBorder="1" applyAlignment="1">
      <alignment horizontal="center" vertical="center" wrapText="1"/>
      <protection/>
    </xf>
    <xf numFmtId="0" fontId="45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/>
      <protection/>
    </xf>
    <xf numFmtId="49" fontId="45" fillId="0" borderId="10" xfId="65" applyNumberFormat="1" applyFont="1" applyBorder="1" applyAlignment="1">
      <alignment horizontal="center" vertical="center" wrapText="1"/>
      <protection/>
    </xf>
    <xf numFmtId="49" fontId="43" fillId="0" borderId="10" xfId="65" applyNumberFormat="1" applyFont="1" applyBorder="1" applyAlignment="1">
      <alignment horizontal="center" vertical="center" wrapText="1"/>
      <protection/>
    </xf>
    <xf numFmtId="0" fontId="41" fillId="0" borderId="0" xfId="65" applyFont="1" applyAlignment="1">
      <alignment horizontal="center"/>
      <protection/>
    </xf>
    <xf numFmtId="49" fontId="41" fillId="0" borderId="0" xfId="65" applyNumberFormat="1" applyBorder="1" applyAlignment="1" applyProtection="1">
      <alignment vertical="top"/>
      <protection locked="0"/>
    </xf>
    <xf numFmtId="49" fontId="41" fillId="0" borderId="0" xfId="65" applyNumberFormat="1" applyFont="1">
      <alignment/>
      <protection/>
    </xf>
    <xf numFmtId="0" fontId="14" fillId="0" borderId="0" xfId="65" applyFont="1" applyBorder="1" applyAlignment="1">
      <alignment horizontal="center"/>
      <protection/>
    </xf>
    <xf numFmtId="0" fontId="107" fillId="0" borderId="0" xfId="65" applyFont="1">
      <alignment/>
      <protection/>
    </xf>
    <xf numFmtId="0" fontId="41" fillId="0" borderId="0" xfId="65" applyFont="1">
      <alignment/>
      <protection/>
    </xf>
    <xf numFmtId="0" fontId="43" fillId="0" borderId="0" xfId="65" applyFont="1" applyBorder="1">
      <alignment/>
      <protection/>
    </xf>
    <xf numFmtId="49" fontId="41" fillId="0" borderId="0" xfId="65" applyNumberFormat="1" applyFont="1" applyBorder="1">
      <alignment/>
      <protection/>
    </xf>
    <xf numFmtId="3" fontId="95" fillId="30" borderId="0" xfId="65" applyNumberFormat="1" applyFont="1" applyFill="1">
      <alignment/>
      <protection/>
    </xf>
    <xf numFmtId="3" fontId="108" fillId="30" borderId="0" xfId="65" applyNumberFormat="1" applyFont="1" applyFill="1">
      <alignment/>
      <protection/>
    </xf>
    <xf numFmtId="3" fontId="93" fillId="0" borderId="0" xfId="65" applyNumberFormat="1" applyFont="1">
      <alignment/>
      <protection/>
    </xf>
    <xf numFmtId="3" fontId="43" fillId="0" borderId="0" xfId="65" applyNumberFormat="1" applyFont="1">
      <alignment/>
      <protection/>
    </xf>
    <xf numFmtId="3" fontId="60" fillId="0" borderId="0" xfId="65" applyNumberFormat="1" applyFont="1">
      <alignment/>
      <protection/>
    </xf>
    <xf numFmtId="3" fontId="107" fillId="0" borderId="0" xfId="65" applyNumberFormat="1" applyFont="1">
      <alignment/>
      <protection/>
    </xf>
    <xf numFmtId="3" fontId="43" fillId="0" borderId="0" xfId="65" applyNumberFormat="1" applyFont="1">
      <alignment/>
      <protection/>
    </xf>
    <xf numFmtId="4" fontId="93" fillId="0" borderId="0" xfId="65" applyNumberFormat="1" applyFont="1">
      <alignment/>
      <protection/>
    </xf>
    <xf numFmtId="49" fontId="41" fillId="0" borderId="0" xfId="65" applyNumberFormat="1" applyFont="1" applyAlignment="1" applyProtection="1">
      <alignment vertical="top"/>
      <protection locked="0"/>
    </xf>
    <xf numFmtId="4" fontId="41" fillId="0" borderId="0" xfId="65" applyNumberFormat="1">
      <alignment/>
      <protection/>
    </xf>
    <xf numFmtId="4" fontId="43" fillId="0" borderId="0" xfId="65" applyNumberFormat="1" applyFont="1">
      <alignment/>
      <protection/>
    </xf>
    <xf numFmtId="49" fontId="38" fillId="0" borderId="10" xfId="65" applyNumberFormat="1" applyFont="1" applyFill="1" applyBorder="1" applyAlignment="1">
      <alignment vertical="top" wrapText="1"/>
      <protection/>
    </xf>
    <xf numFmtId="49" fontId="95" fillId="0" borderId="10" xfId="65" applyNumberFormat="1" applyFont="1" applyBorder="1" applyAlignment="1">
      <alignment horizontal="center" vertical="top" wrapText="1"/>
      <protection/>
    </xf>
    <xf numFmtId="49" fontId="38" fillId="30" borderId="10" xfId="65" applyNumberFormat="1" applyFont="1" applyFill="1" applyBorder="1" applyAlignment="1">
      <alignment vertical="top" wrapText="1"/>
      <protection/>
    </xf>
    <xf numFmtId="49" fontId="17" fillId="30" borderId="10" xfId="65" applyNumberFormat="1" applyFont="1" applyFill="1" applyBorder="1" applyAlignment="1">
      <alignment horizontal="center" vertical="top" wrapText="1"/>
      <protection/>
    </xf>
    <xf numFmtId="49" fontId="17" fillId="0" borderId="10" xfId="65" applyNumberFormat="1" applyFont="1" applyBorder="1" applyAlignment="1" applyProtection="1">
      <alignment horizontal="center" vertical="top" wrapText="1"/>
      <protection locked="0"/>
    </xf>
    <xf numFmtId="49" fontId="13" fillId="0" borderId="10" xfId="65" applyNumberFormat="1" applyFont="1" applyBorder="1" applyAlignment="1" applyProtection="1">
      <alignment vertical="top" wrapText="1"/>
      <protection locked="0"/>
    </xf>
    <xf numFmtId="49" fontId="38" fillId="0" borderId="10" xfId="65" applyNumberFormat="1" applyFont="1" applyBorder="1" applyAlignment="1" applyProtection="1">
      <alignment vertical="top" wrapText="1"/>
      <protection locked="0"/>
    </xf>
    <xf numFmtId="49" fontId="95" fillId="31" borderId="10" xfId="65" applyNumberFormat="1" applyFont="1" applyFill="1" applyBorder="1" applyAlignment="1" applyProtection="1">
      <alignment vertical="top" wrapText="1"/>
      <protection locked="0"/>
    </xf>
    <xf numFmtId="0" fontId="38" fillId="0" borderId="10" xfId="65" applyFont="1" applyBorder="1" applyAlignment="1">
      <alignment vertical="center" wrapText="1"/>
      <protection/>
    </xf>
    <xf numFmtId="0" fontId="38" fillId="0" borderId="10" xfId="65" applyFont="1" applyBorder="1" applyAlignment="1">
      <alignment horizontal="center" vertical="center" wrapText="1"/>
      <protection/>
    </xf>
    <xf numFmtId="49" fontId="38" fillId="0" borderId="10" xfId="65" applyNumberFormat="1" applyFont="1" applyFill="1" applyBorder="1" applyAlignment="1">
      <alignment horizontal="left" vertical="top" wrapText="1"/>
      <protection/>
    </xf>
    <xf numFmtId="49" fontId="38" fillId="0" borderId="10" xfId="65" applyNumberFormat="1" applyFont="1" applyFill="1" applyBorder="1" applyAlignment="1">
      <alignment horizontal="center" vertical="top" wrapText="1"/>
      <protection/>
    </xf>
    <xf numFmtId="2" fontId="43" fillId="30" borderId="0" xfId="65" applyNumberFormat="1" applyFont="1" applyFill="1">
      <alignment/>
      <protection/>
    </xf>
    <xf numFmtId="4" fontId="43" fillId="30" borderId="0" xfId="65" applyNumberFormat="1" applyFont="1" applyFill="1">
      <alignment/>
      <protection/>
    </xf>
    <xf numFmtId="0" fontId="17" fillId="0" borderId="21" xfId="65" applyFont="1" applyBorder="1" applyAlignment="1">
      <alignment vertical="center" wrapText="1"/>
      <protection/>
    </xf>
    <xf numFmtId="0" fontId="17" fillId="0" borderId="21" xfId="65" applyFont="1" applyBorder="1" applyAlignment="1">
      <alignment horizontal="center" vertical="center" wrapText="1"/>
      <protection/>
    </xf>
    <xf numFmtId="49" fontId="47" fillId="0" borderId="10" xfId="65" applyNumberFormat="1" applyFont="1" applyFill="1" applyBorder="1" applyAlignment="1">
      <alignment horizontal="left" vertical="top" wrapText="1"/>
      <protection/>
    </xf>
    <xf numFmtId="49" fontId="17" fillId="0" borderId="10" xfId="65" applyNumberFormat="1" applyFont="1" applyFill="1" applyBorder="1" applyAlignment="1">
      <alignment horizontal="center" vertical="top" wrapText="1"/>
      <protection/>
    </xf>
    <xf numFmtId="49" fontId="95" fillId="0" borderId="10" xfId="65" applyNumberFormat="1" applyFont="1" applyBorder="1" applyAlignment="1">
      <alignment horizontal="left" vertical="top" wrapText="1"/>
      <protection/>
    </xf>
    <xf numFmtId="49" fontId="95" fillId="0" borderId="10" xfId="65" applyNumberFormat="1" applyFont="1" applyBorder="1" applyAlignment="1">
      <alignment horizontal="center" vertical="top" wrapText="1"/>
      <protection/>
    </xf>
    <xf numFmtId="49" fontId="12" fillId="0" borderId="10" xfId="65" applyNumberFormat="1" applyFont="1" applyFill="1" applyBorder="1" applyAlignment="1" applyProtection="1">
      <alignment vertical="top" wrapText="1"/>
      <protection locked="0"/>
    </xf>
    <xf numFmtId="49" fontId="13" fillId="0" borderId="10" xfId="65" applyNumberFormat="1" applyFont="1" applyFill="1" applyBorder="1" applyAlignment="1" applyProtection="1">
      <alignment vertical="top" wrapText="1"/>
      <protection locked="0"/>
    </xf>
    <xf numFmtId="4" fontId="98" fillId="31" borderId="10" xfId="65" applyNumberFormat="1" applyFont="1" applyFill="1" applyBorder="1" applyAlignment="1">
      <alignment horizontal="center" vertical="top" wrapText="1"/>
      <protection/>
    </xf>
    <xf numFmtId="0" fontId="12" fillId="0" borderId="21" xfId="65" applyFont="1" applyBorder="1" applyAlignment="1">
      <alignment vertical="center" wrapText="1"/>
      <protection/>
    </xf>
    <xf numFmtId="0" fontId="12" fillId="0" borderId="21" xfId="65" applyFont="1" applyBorder="1" applyAlignment="1">
      <alignment horizontal="center" vertical="center" wrapText="1"/>
      <protection/>
    </xf>
    <xf numFmtId="49" fontId="13" fillId="0" borderId="10" xfId="65" applyNumberFormat="1" applyFont="1" applyBorder="1" applyAlignment="1" applyProtection="1">
      <alignment vertical="top" wrapText="1"/>
      <protection locked="0"/>
    </xf>
    <xf numFmtId="0" fontId="61" fillId="0" borderId="0" xfId="65" applyFont="1">
      <alignment/>
      <protection/>
    </xf>
    <xf numFmtId="49" fontId="109" fillId="0" borderId="10" xfId="65" applyNumberFormat="1" applyFont="1" applyFill="1" applyBorder="1" applyAlignment="1" applyProtection="1">
      <alignment vertical="top" wrapText="1"/>
      <protection locked="0"/>
    </xf>
    <xf numFmtId="0" fontId="43" fillId="0" borderId="10" xfId="65" applyFont="1" applyFill="1" applyBorder="1" applyAlignment="1">
      <alignment horizontal="center" vertical="center" wrapText="1"/>
      <protection/>
    </xf>
    <xf numFmtId="0" fontId="41" fillId="0" borderId="0" xfId="65" applyFill="1" applyBorder="1">
      <alignment/>
      <protection/>
    </xf>
    <xf numFmtId="0" fontId="43" fillId="0" borderId="0" xfId="65" applyFont="1" applyFill="1" applyBorder="1">
      <alignment/>
      <protection/>
    </xf>
    <xf numFmtId="49" fontId="41" fillId="0" borderId="0" xfId="65" applyNumberFormat="1" applyFont="1" applyFill="1" applyBorder="1" applyAlignment="1">
      <alignment horizontal="left" vertical="center" wrapText="1"/>
      <protection/>
    </xf>
    <xf numFmtId="1" fontId="41" fillId="0" borderId="0" xfId="65" applyNumberFormat="1" applyFont="1" applyFill="1" applyBorder="1" applyAlignment="1">
      <alignment vertical="top" wrapText="1"/>
      <protection/>
    </xf>
    <xf numFmtId="184" fontId="43" fillId="0" borderId="0" xfId="65" applyNumberFormat="1" applyFont="1" applyFill="1" applyBorder="1">
      <alignment/>
      <protection/>
    </xf>
    <xf numFmtId="49" fontId="41" fillId="0" borderId="0" xfId="65" applyNumberFormat="1" applyFont="1" applyFill="1" applyBorder="1" applyAlignment="1">
      <alignment vertical="top" wrapText="1"/>
      <protection/>
    </xf>
    <xf numFmtId="3" fontId="43" fillId="0" borderId="0" xfId="65" applyNumberFormat="1" applyFont="1" applyFill="1" applyBorder="1">
      <alignment/>
      <protection/>
    </xf>
    <xf numFmtId="184" fontId="41" fillId="0" borderId="0" xfId="65" applyNumberFormat="1" applyFill="1" applyBorder="1">
      <alignment/>
      <protection/>
    </xf>
    <xf numFmtId="0" fontId="12" fillId="0" borderId="0" xfId="74" applyFont="1" applyFill="1" applyBorder="1" applyAlignment="1" applyProtection="1">
      <alignment horizontal="left" vertical="center" wrapText="1"/>
      <protection/>
    </xf>
    <xf numFmtId="0" fontId="12" fillId="0" borderId="30" xfId="74" applyFont="1" applyFill="1" applyBorder="1" applyAlignment="1" applyProtection="1">
      <alignment horizontal="left" vertical="center" wrapText="1"/>
      <protection/>
    </xf>
    <xf numFmtId="0" fontId="13" fillId="0" borderId="0" xfId="65" applyFont="1" applyFill="1" applyBorder="1">
      <alignment/>
      <protection/>
    </xf>
    <xf numFmtId="0" fontId="12" fillId="0" borderId="0" xfId="65" applyFont="1" applyFill="1" applyBorder="1">
      <alignment/>
      <protection/>
    </xf>
    <xf numFmtId="0" fontId="11" fillId="0" borderId="0" xfId="65" applyFont="1" applyFill="1" applyBorder="1">
      <alignment/>
      <protection/>
    </xf>
    <xf numFmtId="0" fontId="7" fillId="0" borderId="0" xfId="65" applyFont="1" applyFill="1" applyBorder="1">
      <alignment/>
      <protection/>
    </xf>
    <xf numFmtId="49" fontId="62" fillId="0" borderId="0" xfId="65" applyNumberFormat="1" applyFont="1" applyFill="1" applyBorder="1" applyAlignment="1" applyProtection="1">
      <alignment horizontal="left" vertical="top" wrapText="1"/>
      <protection locked="0"/>
    </xf>
    <xf numFmtId="0" fontId="41" fillId="24" borderId="0" xfId="65" applyFill="1" applyBorder="1">
      <alignment/>
      <protection/>
    </xf>
    <xf numFmtId="3" fontId="12" fillId="31" borderId="0" xfId="65" applyNumberFormat="1" applyFont="1" applyFill="1" applyBorder="1">
      <alignment/>
      <protection/>
    </xf>
    <xf numFmtId="4" fontId="7" fillId="35" borderId="10" xfId="65" applyNumberFormat="1" applyFont="1" applyFill="1" applyBorder="1" applyAlignment="1">
      <alignment horizontal="center" vertical="top"/>
      <protection/>
    </xf>
    <xf numFmtId="49" fontId="110" fillId="35" borderId="10" xfId="65" applyNumberFormat="1" applyFont="1" applyFill="1" applyBorder="1" applyAlignment="1">
      <alignment horizontal="left" vertical="center" wrapText="1"/>
      <protection/>
    </xf>
    <xf numFmtId="49" fontId="110" fillId="35" borderId="10" xfId="65" applyNumberFormat="1" applyFont="1" applyFill="1" applyBorder="1" applyAlignment="1">
      <alignment horizontal="center" vertical="top" wrapText="1"/>
      <protection/>
    </xf>
    <xf numFmtId="4" fontId="7" fillId="0" borderId="10" xfId="65" applyNumberFormat="1" applyFont="1" applyFill="1" applyBorder="1" applyAlignment="1">
      <alignment horizontal="center" vertical="top" wrapText="1"/>
      <protection/>
    </xf>
    <xf numFmtId="0" fontId="37" fillId="24" borderId="0" xfId="65" applyFont="1" applyFill="1" applyBorder="1">
      <alignment/>
      <protection/>
    </xf>
    <xf numFmtId="4" fontId="7" fillId="35" borderId="10" xfId="65" applyNumberFormat="1" applyFont="1" applyFill="1" applyBorder="1" applyAlignment="1">
      <alignment horizontal="center" vertical="top" wrapText="1"/>
      <protection/>
    </xf>
    <xf numFmtId="49" fontId="38" fillId="35" borderId="10" xfId="65" applyNumberFormat="1" applyFont="1" applyFill="1" applyBorder="1" applyAlignment="1">
      <alignment horizontal="left" vertical="top" wrapText="1"/>
      <protection/>
    </xf>
    <xf numFmtId="49" fontId="38" fillId="35" borderId="10" xfId="65" applyNumberFormat="1" applyFont="1" applyFill="1" applyBorder="1" applyAlignment="1">
      <alignment horizontal="center" vertical="top" wrapText="1"/>
      <protection/>
    </xf>
    <xf numFmtId="0" fontId="11" fillId="24" borderId="0" xfId="65" applyFont="1" applyFill="1" applyBorder="1">
      <alignment/>
      <protection/>
    </xf>
    <xf numFmtId="4" fontId="13" fillId="0" borderId="10" xfId="65" applyNumberFormat="1" applyFont="1" applyFill="1" applyBorder="1" applyAlignment="1">
      <alignment horizontal="center" vertical="top" wrapText="1"/>
      <protection/>
    </xf>
    <xf numFmtId="49" fontId="17" fillId="0" borderId="10" xfId="65" applyNumberFormat="1" applyFont="1" applyFill="1" applyBorder="1" applyAlignment="1">
      <alignment horizontal="center" vertical="top" wrapText="1"/>
      <protection/>
    </xf>
    <xf numFmtId="4" fontId="13" fillId="35" borderId="10" xfId="65" applyNumberFormat="1" applyFont="1" applyFill="1" applyBorder="1" applyAlignment="1">
      <alignment horizontal="center" vertical="top" wrapText="1"/>
      <protection/>
    </xf>
    <xf numFmtId="49" fontId="47" fillId="0" borderId="10" xfId="65" applyNumberFormat="1" applyFont="1" applyFill="1" applyBorder="1" applyAlignment="1">
      <alignment horizontal="left" vertical="top" wrapText="1"/>
      <protection/>
    </xf>
    <xf numFmtId="49" fontId="17" fillId="31" borderId="10" xfId="65" applyNumberFormat="1" applyFont="1" applyFill="1" applyBorder="1" applyAlignment="1">
      <alignment horizontal="center" vertical="top" wrapText="1"/>
      <protection/>
    </xf>
    <xf numFmtId="4" fontId="12" fillId="0" borderId="10" xfId="65" applyNumberFormat="1" applyFont="1" applyFill="1" applyBorder="1" applyAlignment="1">
      <alignment horizontal="center" vertical="top" wrapText="1"/>
      <protection/>
    </xf>
    <xf numFmtId="3" fontId="65" fillId="0" borderId="10" xfId="65" applyNumberFormat="1" applyFont="1" applyFill="1" applyBorder="1" applyAlignment="1">
      <alignment horizontal="center" vertical="top"/>
      <protection/>
    </xf>
    <xf numFmtId="49" fontId="17" fillId="0" borderId="10" xfId="65" applyNumberFormat="1" applyFont="1" applyFill="1" applyBorder="1" applyAlignment="1">
      <alignment horizontal="left" vertical="top" wrapText="1"/>
      <protection/>
    </xf>
    <xf numFmtId="0" fontId="12" fillId="24" borderId="0" xfId="65" applyFont="1" applyFill="1" applyBorder="1">
      <alignment/>
      <protection/>
    </xf>
    <xf numFmtId="0" fontId="13" fillId="24" borderId="0" xfId="65" applyFont="1" applyFill="1" applyBorder="1">
      <alignment/>
      <protection/>
    </xf>
    <xf numFmtId="0" fontId="104" fillId="0" borderId="0" xfId="65" applyFont="1" applyFill="1" applyBorder="1">
      <alignment/>
      <protection/>
    </xf>
    <xf numFmtId="0" fontId="104" fillId="0" borderId="10" xfId="65" applyFont="1" applyFill="1" applyBorder="1" applyAlignment="1">
      <alignment horizontal="center" vertical="center" wrapText="1"/>
      <protection/>
    </xf>
    <xf numFmtId="49" fontId="104" fillId="0" borderId="10" xfId="65" applyNumberFormat="1" applyFont="1" applyFill="1" applyBorder="1" applyAlignment="1">
      <alignment horizontal="center" vertical="center" wrapText="1"/>
      <protection/>
    </xf>
    <xf numFmtId="49" fontId="45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65" applyFont="1" applyFill="1" applyBorder="1" applyAlignment="1">
      <alignment horizontal="center" vertical="center" wrapText="1"/>
      <protection/>
    </xf>
    <xf numFmtId="0" fontId="37" fillId="0" borderId="0" xfId="65" applyFont="1" applyFill="1" applyBorder="1">
      <alignment/>
      <protection/>
    </xf>
    <xf numFmtId="1" fontId="79" fillId="0" borderId="0" xfId="65" applyNumberFormat="1" applyFont="1" applyFill="1" applyBorder="1" applyAlignment="1">
      <alignment horizontal="center" vertical="top" wrapText="1"/>
      <protection/>
    </xf>
    <xf numFmtId="0" fontId="41" fillId="0" borderId="0" xfId="65" applyFont="1" applyFill="1" applyBorder="1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Обычный_ZV1PIV98" xfId="74"/>
    <cellStyle name="Обычный_ДОД4-200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інансовий 2" xfId="85"/>
    <cellStyle name="Фінансовий 3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6</xdr:row>
      <xdr:rowOff>190500</xdr:rowOff>
    </xdr:from>
    <xdr:to>
      <xdr:col>11</xdr:col>
      <xdr:colOff>352425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1609725"/>
          <a:ext cx="1323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</xdr:row>
      <xdr:rowOff>161925</xdr:rowOff>
    </xdr:from>
    <xdr:to>
      <xdr:col>8</xdr:col>
      <xdr:colOff>314325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857375" y="323850"/>
          <a:ext cx="832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2</xdr:row>
      <xdr:rowOff>0</xdr:rowOff>
    </xdr:from>
    <xdr:to>
      <xdr:col>9</xdr:col>
      <xdr:colOff>314325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724150" y="323850"/>
          <a:ext cx="1038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57300" y="1457325"/>
          <a:ext cx="553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showZeros="0" tabSelected="1" view="pageBreakPreview" zoomScaleSheetLayoutView="100"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N1" sqref="N1:N16384"/>
    </sheetView>
  </sheetViews>
  <sheetFormatPr defaultColWidth="9.00390625" defaultRowHeight="12.75"/>
  <cols>
    <col min="1" max="1" width="11.125" style="715" customWidth="1"/>
    <col min="2" max="2" width="33.875" style="714" customWidth="1"/>
    <col min="3" max="3" width="17.875" style="713" customWidth="1"/>
    <col min="4" max="4" width="15.25390625" style="712" customWidth="1"/>
    <col min="5" max="5" width="14.25390625" style="712" customWidth="1"/>
    <col min="6" max="6" width="17.875" style="713" customWidth="1"/>
    <col min="7" max="7" width="18.375" style="712" customWidth="1"/>
    <col min="8" max="8" width="9.625" style="712" customWidth="1"/>
    <col min="9" max="9" width="12.125" style="712" customWidth="1"/>
    <col min="10" max="10" width="17.75390625" style="712" customWidth="1"/>
    <col min="11" max="11" width="18.75390625" style="712" customWidth="1"/>
    <col min="12" max="12" width="18.875" style="712" customWidth="1"/>
    <col min="13" max="13" width="18.125" style="713" customWidth="1"/>
    <col min="14" max="14" width="16.375" style="712" customWidth="1"/>
    <col min="15" max="16384" width="9.125" style="712" customWidth="1"/>
  </cols>
  <sheetData>
    <row r="1" ht="12.75">
      <c r="L1" s="755" t="s">
        <v>937</v>
      </c>
    </row>
    <row r="2" ht="12.75">
      <c r="L2" s="755" t="s">
        <v>936</v>
      </c>
    </row>
    <row r="3" ht="12.75">
      <c r="L3" s="755" t="s">
        <v>935</v>
      </c>
    </row>
    <row r="4" ht="12.75">
      <c r="L4" s="713"/>
    </row>
    <row r="5" spans="1:13" ht="30.75" customHeight="1">
      <c r="A5" s="754" t="s">
        <v>934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</row>
    <row r="6" spans="1:13" ht="30" customHeight="1">
      <c r="A6" s="754" t="s">
        <v>933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</row>
    <row r="7" ht="15">
      <c r="M7" s="753" t="s">
        <v>7</v>
      </c>
    </row>
    <row r="8" spans="1:13" ht="26.25" customHeight="1">
      <c r="A8" s="752" t="s">
        <v>508</v>
      </c>
      <c r="B8" s="751" t="s">
        <v>11</v>
      </c>
      <c r="C8" s="657" t="s">
        <v>812</v>
      </c>
      <c r="D8" s="657"/>
      <c r="E8" s="657"/>
      <c r="F8" s="657" t="s">
        <v>811</v>
      </c>
      <c r="G8" s="657"/>
      <c r="H8" s="657"/>
      <c r="I8" s="657"/>
      <c r="J8" s="657"/>
      <c r="K8" s="657"/>
      <c r="L8" s="657"/>
      <c r="M8" s="654" t="s">
        <v>534</v>
      </c>
    </row>
    <row r="9" spans="1:13" ht="16.5" customHeight="1">
      <c r="A9" s="752"/>
      <c r="B9" s="751"/>
      <c r="C9" s="657" t="s">
        <v>0</v>
      </c>
      <c r="D9" s="657" t="s">
        <v>803</v>
      </c>
      <c r="E9" s="657"/>
      <c r="F9" s="657" t="s">
        <v>0</v>
      </c>
      <c r="G9" s="656" t="s">
        <v>808</v>
      </c>
      <c r="H9" s="657" t="s">
        <v>803</v>
      </c>
      <c r="I9" s="657"/>
      <c r="J9" s="656" t="s">
        <v>807</v>
      </c>
      <c r="K9" s="656" t="s">
        <v>803</v>
      </c>
      <c r="L9" s="656"/>
      <c r="M9" s="654"/>
    </row>
    <row r="10" spans="1:13" ht="18.75" customHeight="1">
      <c r="A10" s="752"/>
      <c r="B10" s="751"/>
      <c r="C10" s="657"/>
      <c r="D10" s="656" t="s">
        <v>806</v>
      </c>
      <c r="E10" s="656" t="s">
        <v>805</v>
      </c>
      <c r="F10" s="657"/>
      <c r="G10" s="656"/>
      <c r="H10" s="656" t="s">
        <v>806</v>
      </c>
      <c r="I10" s="656" t="s">
        <v>805</v>
      </c>
      <c r="J10" s="656"/>
      <c r="K10" s="656" t="s">
        <v>804</v>
      </c>
      <c r="L10" s="660" t="s">
        <v>803</v>
      </c>
      <c r="M10" s="654"/>
    </row>
    <row r="11" spans="1:13" ht="127.5" customHeight="1">
      <c r="A11" s="752"/>
      <c r="B11" s="751"/>
      <c r="C11" s="657"/>
      <c r="D11" s="656"/>
      <c r="E11" s="656"/>
      <c r="F11" s="657"/>
      <c r="G11" s="656"/>
      <c r="H11" s="656"/>
      <c r="I11" s="656"/>
      <c r="J11" s="656"/>
      <c r="K11" s="656"/>
      <c r="L11" s="660" t="s">
        <v>802</v>
      </c>
      <c r="M11" s="654"/>
    </row>
    <row r="12" spans="1:13" s="748" customFormat="1" ht="12" customHeight="1">
      <c r="A12" s="750">
        <v>1</v>
      </c>
      <c r="B12" s="749">
        <v>2</v>
      </c>
      <c r="C12" s="749">
        <v>3</v>
      </c>
      <c r="D12" s="749">
        <v>4</v>
      </c>
      <c r="E12" s="749">
        <v>5</v>
      </c>
      <c r="F12" s="749">
        <v>6</v>
      </c>
      <c r="G12" s="749">
        <v>7</v>
      </c>
      <c r="H12" s="749">
        <v>8</v>
      </c>
      <c r="I12" s="749">
        <v>9</v>
      </c>
      <c r="J12" s="749">
        <v>10</v>
      </c>
      <c r="K12" s="749">
        <v>11</v>
      </c>
      <c r="L12" s="749">
        <v>12</v>
      </c>
      <c r="M12" s="749" t="s">
        <v>905</v>
      </c>
    </row>
    <row r="13" spans="1:14" s="747" customFormat="1" ht="15.75">
      <c r="A13" s="736" t="s">
        <v>932</v>
      </c>
      <c r="B13" s="735" t="s">
        <v>931</v>
      </c>
      <c r="C13" s="740">
        <f>C14+C15+C16+C17+C18+C19+C21+C22+C23+C27+C28+C29+C30+C20</f>
        <v>4571054.5</v>
      </c>
      <c r="D13" s="740">
        <f>D14+D15+D16+D17+D18+D19+D21+D22+D23+D27+D28+D29+D30+D20</f>
        <v>0</v>
      </c>
      <c r="E13" s="740">
        <f>E14+E15+E16+E17+E18+E19+E21+E22+E23+E27+E28+E29+E30+E20</f>
        <v>0</v>
      </c>
      <c r="F13" s="740">
        <f>F14+F15+F16+F17+F18+F19+F21+F22+F23+F27+F28+F29+F30+F20</f>
        <v>4776383.63</v>
      </c>
      <c r="G13" s="740">
        <f>G14+G15+G16+G17+G18+G19+G21+G22+G23+G27+G28+G29+G30+G20</f>
        <v>0</v>
      </c>
      <c r="H13" s="740">
        <f>H14+H15+H16+H17+H18+H19+H21+H22+H23+H27+H28+H29+H30+H20</f>
        <v>0</v>
      </c>
      <c r="I13" s="740">
        <f>I14+I15+I16+I17+I18+I19+I21+I22+I23+I27+I28+I29+I30+I20</f>
        <v>0</v>
      </c>
      <c r="J13" s="740">
        <f>J14+J15+J16+J17+J18+J19+J21+J22+J23+J27+J28+J29+J30+J20</f>
        <v>4776383.63</v>
      </c>
      <c r="K13" s="740">
        <f>K14+K15+K16+K17+K18+K19+K21+K22+K23+K27+K28+K29+K30+K20</f>
        <v>4776383.63</v>
      </c>
      <c r="L13" s="740">
        <f>L14+L15+L16+L17+L18+L19+L21+L22+L23+L27+L28+L29+L30+L20</f>
        <v>0</v>
      </c>
      <c r="M13" s="740">
        <f>F13+C13</f>
        <v>9347438.129999999</v>
      </c>
      <c r="N13" s="728"/>
    </row>
    <row r="14" spans="1:14" s="747" customFormat="1" ht="47.25">
      <c r="A14" s="591" t="s">
        <v>483</v>
      </c>
      <c r="B14" s="644" t="s">
        <v>482</v>
      </c>
      <c r="C14" s="738">
        <f>'додаток 2'!C33</f>
        <v>559416.36</v>
      </c>
      <c r="D14" s="738">
        <f>'додаток 2'!D33</f>
        <v>0</v>
      </c>
      <c r="E14" s="738">
        <f>'додаток 2'!E33</f>
        <v>0</v>
      </c>
      <c r="F14" s="738">
        <f>'додаток 2'!F33</f>
        <v>213904.66</v>
      </c>
      <c r="G14" s="738">
        <f>'додаток 2'!G33</f>
        <v>0</v>
      </c>
      <c r="H14" s="738">
        <f>'додаток 2'!H33</f>
        <v>0</v>
      </c>
      <c r="I14" s="738">
        <f>'додаток 2'!I33</f>
        <v>0</v>
      </c>
      <c r="J14" s="738">
        <f>'додаток 2'!J33</f>
        <v>213904.66</v>
      </c>
      <c r="K14" s="738">
        <f>'додаток 2'!K33</f>
        <v>213904.66</v>
      </c>
      <c r="L14" s="738">
        <f>'додаток 2'!L33</f>
        <v>0</v>
      </c>
      <c r="M14" s="738">
        <f>C14+F14</f>
        <v>773321.02</v>
      </c>
      <c r="N14" s="728"/>
    </row>
    <row r="15" spans="1:14" s="747" customFormat="1" ht="63">
      <c r="A15" s="591" t="s">
        <v>774</v>
      </c>
      <c r="B15" s="644" t="s">
        <v>895</v>
      </c>
      <c r="C15" s="738">
        <f>'додаток 2'!C34</f>
        <v>207157.36</v>
      </c>
      <c r="D15" s="738">
        <f>'додаток 2'!D34</f>
        <v>0</v>
      </c>
      <c r="E15" s="738">
        <f>'додаток 2'!E34</f>
        <v>0</v>
      </c>
      <c r="F15" s="738">
        <f>'додаток 2'!F34</f>
        <v>0</v>
      </c>
      <c r="G15" s="738">
        <f>'додаток 2'!G34</f>
        <v>0</v>
      </c>
      <c r="H15" s="738">
        <f>'додаток 2'!H34</f>
        <v>0</v>
      </c>
      <c r="I15" s="738">
        <f>'додаток 2'!I34</f>
        <v>0</v>
      </c>
      <c r="J15" s="738">
        <f>'додаток 2'!J34</f>
        <v>0</v>
      </c>
      <c r="K15" s="738">
        <f>'додаток 2'!K34</f>
        <v>0</v>
      </c>
      <c r="L15" s="738">
        <f>'додаток 2'!L34</f>
        <v>0</v>
      </c>
      <c r="M15" s="738">
        <f>C15+F15</f>
        <v>207157.36</v>
      </c>
      <c r="N15" s="728"/>
    </row>
    <row r="16" spans="1:14" s="747" customFormat="1" ht="78.75">
      <c r="A16" s="591" t="s">
        <v>481</v>
      </c>
      <c r="B16" s="644" t="s">
        <v>480</v>
      </c>
      <c r="C16" s="738">
        <f>'додаток 2'!C35</f>
        <v>1413075.32</v>
      </c>
      <c r="D16" s="738">
        <f>'додаток 2'!D35</f>
        <v>0</v>
      </c>
      <c r="E16" s="738">
        <f>'додаток 2'!E35</f>
        <v>0</v>
      </c>
      <c r="F16" s="738">
        <f>'додаток 2'!F35</f>
        <v>512660.26</v>
      </c>
      <c r="G16" s="738">
        <f>'додаток 2'!G35</f>
        <v>0</v>
      </c>
      <c r="H16" s="738">
        <f>'додаток 2'!H35</f>
        <v>0</v>
      </c>
      <c r="I16" s="738">
        <f>'додаток 2'!I35</f>
        <v>0</v>
      </c>
      <c r="J16" s="738">
        <f>'додаток 2'!J35</f>
        <v>512660.26</v>
      </c>
      <c r="K16" s="738">
        <f>'додаток 2'!K35</f>
        <v>512660.26</v>
      </c>
      <c r="L16" s="738">
        <f>'додаток 2'!L35</f>
        <v>0</v>
      </c>
      <c r="M16" s="738">
        <f>C16+F16</f>
        <v>1925735.58</v>
      </c>
      <c r="N16" s="728"/>
    </row>
    <row r="17" spans="1:14" s="747" customFormat="1" ht="128.25" customHeight="1">
      <c r="A17" s="591" t="s">
        <v>479</v>
      </c>
      <c r="B17" s="644" t="s">
        <v>478</v>
      </c>
      <c r="C17" s="738">
        <f>'додаток 2'!C36</f>
        <v>599292.84</v>
      </c>
      <c r="D17" s="738">
        <f>'додаток 2'!D36</f>
        <v>0</v>
      </c>
      <c r="E17" s="738">
        <f>'додаток 2'!E36</f>
        <v>0</v>
      </c>
      <c r="F17" s="738">
        <f>'додаток 2'!F36</f>
        <v>28280</v>
      </c>
      <c r="G17" s="738">
        <f>'додаток 2'!G36</f>
        <v>0</v>
      </c>
      <c r="H17" s="738">
        <f>'додаток 2'!H36</f>
        <v>0</v>
      </c>
      <c r="I17" s="738">
        <f>'додаток 2'!I36</f>
        <v>0</v>
      </c>
      <c r="J17" s="738">
        <f>'додаток 2'!J36</f>
        <v>28280</v>
      </c>
      <c r="K17" s="738">
        <f>'додаток 2'!K36</f>
        <v>28280</v>
      </c>
      <c r="L17" s="738">
        <f>'додаток 2'!L36</f>
        <v>0</v>
      </c>
      <c r="M17" s="738">
        <f>C17+F17</f>
        <v>627572.84</v>
      </c>
      <c r="N17" s="728"/>
    </row>
    <row r="18" spans="1:14" s="747" customFormat="1" ht="47.25">
      <c r="A18" s="591" t="s">
        <v>477</v>
      </c>
      <c r="B18" s="644" t="s">
        <v>476</v>
      </c>
      <c r="C18" s="738">
        <f>'додаток 2'!C37</f>
        <v>369234.4</v>
      </c>
      <c r="D18" s="738">
        <f>'додаток 2'!D37</f>
        <v>0</v>
      </c>
      <c r="E18" s="738">
        <f>'додаток 2'!E37</f>
        <v>0</v>
      </c>
      <c r="F18" s="738">
        <f>'додаток 2'!F37</f>
        <v>39036.5</v>
      </c>
      <c r="G18" s="738">
        <f>'додаток 2'!G37</f>
        <v>0</v>
      </c>
      <c r="H18" s="738">
        <f>'додаток 2'!H37</f>
        <v>0</v>
      </c>
      <c r="I18" s="738">
        <f>'додаток 2'!I37</f>
        <v>0</v>
      </c>
      <c r="J18" s="738">
        <f>'додаток 2'!J37</f>
        <v>39036.5</v>
      </c>
      <c r="K18" s="738">
        <f>'додаток 2'!K37</f>
        <v>39036.5</v>
      </c>
      <c r="L18" s="738">
        <f>'додаток 2'!L37</f>
        <v>0</v>
      </c>
      <c r="M18" s="738">
        <f>C18+F18</f>
        <v>408270.9</v>
      </c>
      <c r="N18" s="728"/>
    </row>
    <row r="19" spans="1:14" s="747" customFormat="1" ht="31.5">
      <c r="A19" s="591" t="s">
        <v>475</v>
      </c>
      <c r="B19" s="644" t="s">
        <v>474</v>
      </c>
      <c r="C19" s="738">
        <f>'додаток 2'!C38</f>
        <v>873071.25</v>
      </c>
      <c r="D19" s="738">
        <f>'додаток 2'!D38</f>
        <v>0</v>
      </c>
      <c r="E19" s="738">
        <f>'додаток 2'!E38</f>
        <v>0</v>
      </c>
      <c r="F19" s="738">
        <f>'додаток 2'!F38</f>
        <v>3584046.55</v>
      </c>
      <c r="G19" s="738">
        <f>'додаток 2'!G38</f>
        <v>0</v>
      </c>
      <c r="H19" s="738">
        <f>'додаток 2'!H38</f>
        <v>0</v>
      </c>
      <c r="I19" s="738">
        <f>'додаток 2'!I38</f>
        <v>0</v>
      </c>
      <c r="J19" s="738">
        <f>'додаток 2'!J38</f>
        <v>3584046.55</v>
      </c>
      <c r="K19" s="738">
        <f>'додаток 2'!K38</f>
        <v>3584046.55</v>
      </c>
      <c r="L19" s="738">
        <f>'додаток 2'!L38</f>
        <v>0</v>
      </c>
      <c r="M19" s="738">
        <f>C19+F19</f>
        <v>4457117.8</v>
      </c>
      <c r="N19" s="728"/>
    </row>
    <row r="20" spans="1:14" s="747" customFormat="1" ht="31.5">
      <c r="A20" s="591" t="s">
        <v>877</v>
      </c>
      <c r="B20" s="614" t="s">
        <v>876</v>
      </c>
      <c r="C20" s="738">
        <f>'додаток 2'!C76</f>
        <v>0</v>
      </c>
      <c r="D20" s="738">
        <f>'додаток 2'!D76</f>
        <v>0</v>
      </c>
      <c r="E20" s="738">
        <f>'додаток 2'!E76</f>
        <v>0</v>
      </c>
      <c r="F20" s="738">
        <f>'додаток 2'!F76</f>
        <v>105533.5</v>
      </c>
      <c r="G20" s="738">
        <f>'додаток 2'!G76</f>
        <v>0</v>
      </c>
      <c r="H20" s="738">
        <f>'додаток 2'!H76</f>
        <v>0</v>
      </c>
      <c r="I20" s="738">
        <f>'додаток 2'!I76</f>
        <v>0</v>
      </c>
      <c r="J20" s="738">
        <f>'додаток 2'!J76</f>
        <v>105533.5</v>
      </c>
      <c r="K20" s="738">
        <f>'додаток 2'!K76</f>
        <v>105533.5</v>
      </c>
      <c r="L20" s="738">
        <f>'додаток 2'!L76</f>
        <v>0</v>
      </c>
      <c r="M20" s="738">
        <f>C20+F20</f>
        <v>105533.5</v>
      </c>
      <c r="N20" s="728"/>
    </row>
    <row r="21" spans="1:14" s="747" customFormat="1" ht="31.5">
      <c r="A21" s="591" t="s">
        <v>473</v>
      </c>
      <c r="B21" s="644" t="s">
        <v>472</v>
      </c>
      <c r="C21" s="738">
        <f>'додаток 2'!C39+'додаток 2'!C77</f>
        <v>367800.3</v>
      </c>
      <c r="D21" s="738">
        <f>'додаток 2'!D39+'додаток 2'!D77</f>
        <v>0</v>
      </c>
      <c r="E21" s="738">
        <f>'додаток 2'!E39+'додаток 2'!E77</f>
        <v>0</v>
      </c>
      <c r="F21" s="738">
        <f>'додаток 2'!F39+'додаток 2'!F77</f>
        <v>23012</v>
      </c>
      <c r="G21" s="738">
        <f>'додаток 2'!G39+'додаток 2'!G77</f>
        <v>0</v>
      </c>
      <c r="H21" s="738">
        <f>'додаток 2'!H39+'додаток 2'!H77</f>
        <v>0</v>
      </c>
      <c r="I21" s="738">
        <f>'додаток 2'!I39+'додаток 2'!I77</f>
        <v>0</v>
      </c>
      <c r="J21" s="738">
        <f>'додаток 2'!J39+'додаток 2'!J77</f>
        <v>23012</v>
      </c>
      <c r="K21" s="738">
        <f>'додаток 2'!K39+'додаток 2'!K77</f>
        <v>23012</v>
      </c>
      <c r="L21" s="738">
        <f>'додаток 2'!L39+'додаток 2'!L77</f>
        <v>0</v>
      </c>
      <c r="M21" s="738">
        <f>C21+F21</f>
        <v>390812.3</v>
      </c>
      <c r="N21" s="728"/>
    </row>
    <row r="22" spans="1:14" s="747" customFormat="1" ht="63">
      <c r="A22" s="591" t="s">
        <v>719</v>
      </c>
      <c r="B22" s="614" t="s">
        <v>874</v>
      </c>
      <c r="C22" s="738">
        <f>'додаток 2'!C78</f>
        <v>11614.35</v>
      </c>
      <c r="D22" s="738">
        <f>'додаток 2'!D78</f>
        <v>0</v>
      </c>
      <c r="E22" s="738">
        <f>'додаток 2'!E78</f>
        <v>0</v>
      </c>
      <c r="F22" s="738">
        <f>'додаток 2'!F78</f>
        <v>0</v>
      </c>
      <c r="G22" s="738">
        <f>'додаток 2'!G78</f>
        <v>0</v>
      </c>
      <c r="H22" s="738">
        <f>'додаток 2'!H78</f>
        <v>0</v>
      </c>
      <c r="I22" s="738">
        <f>'додаток 2'!I78</f>
        <v>0</v>
      </c>
      <c r="J22" s="738">
        <f>'додаток 2'!J78</f>
        <v>0</v>
      </c>
      <c r="K22" s="738">
        <f>'додаток 2'!K78</f>
        <v>0</v>
      </c>
      <c r="L22" s="738">
        <f>'додаток 2'!L78</f>
        <v>0</v>
      </c>
      <c r="M22" s="738">
        <f>C22+F22</f>
        <v>11614.35</v>
      </c>
      <c r="N22" s="728"/>
    </row>
    <row r="23" spans="1:14" s="747" customFormat="1" ht="31.5">
      <c r="A23" s="591" t="s">
        <v>762</v>
      </c>
      <c r="B23" s="644" t="s">
        <v>894</v>
      </c>
      <c r="C23" s="738">
        <f>'додаток 2'!C40</f>
        <v>58888.69</v>
      </c>
      <c r="D23" s="738">
        <f>'додаток 2'!D40</f>
        <v>0</v>
      </c>
      <c r="E23" s="738">
        <f>'додаток 2'!E40</f>
        <v>0</v>
      </c>
      <c r="F23" s="738">
        <f>'додаток 2'!F40</f>
        <v>0</v>
      </c>
      <c r="G23" s="738">
        <f>'додаток 2'!G40</f>
        <v>0</v>
      </c>
      <c r="H23" s="738">
        <f>'додаток 2'!H40</f>
        <v>0</v>
      </c>
      <c r="I23" s="738">
        <f>'додаток 2'!I40</f>
        <v>0</v>
      </c>
      <c r="J23" s="738">
        <f>'додаток 2'!J40</f>
        <v>0</v>
      </c>
      <c r="K23" s="738">
        <f>'додаток 2'!K40</f>
        <v>0</v>
      </c>
      <c r="L23" s="738">
        <f>'додаток 2'!L40</f>
        <v>0</v>
      </c>
      <c r="M23" s="738">
        <f>C23+F23</f>
        <v>58888.69</v>
      </c>
      <c r="N23" s="728"/>
    </row>
    <row r="24" spans="1:14" s="747" customFormat="1" ht="78.75">
      <c r="A24" s="591"/>
      <c r="B24" s="644" t="s">
        <v>893</v>
      </c>
      <c r="C24" s="738">
        <f>'додаток 2'!C41</f>
        <v>15681.2</v>
      </c>
      <c r="D24" s="738">
        <f>'додаток 2'!D41</f>
        <v>0</v>
      </c>
      <c r="E24" s="738">
        <f>'додаток 2'!E41</f>
        <v>0</v>
      </c>
      <c r="F24" s="738">
        <f>'додаток 2'!F41</f>
        <v>0</v>
      </c>
      <c r="G24" s="738">
        <f>'додаток 2'!G41</f>
        <v>0</v>
      </c>
      <c r="H24" s="738">
        <f>'додаток 2'!H41</f>
        <v>0</v>
      </c>
      <c r="I24" s="738">
        <f>'додаток 2'!I41</f>
        <v>0</v>
      </c>
      <c r="J24" s="738">
        <f>'додаток 2'!J41</f>
        <v>0</v>
      </c>
      <c r="K24" s="738">
        <f>'додаток 2'!K41</f>
        <v>0</v>
      </c>
      <c r="L24" s="738">
        <f>'додаток 2'!L41</f>
        <v>0</v>
      </c>
      <c r="M24" s="738">
        <f>C24+F24</f>
        <v>15681.2</v>
      </c>
      <c r="N24" s="728"/>
    </row>
    <row r="25" spans="1:14" s="747" customFormat="1" ht="47.25">
      <c r="A25" s="591"/>
      <c r="B25" s="644" t="s">
        <v>892</v>
      </c>
      <c r="C25" s="738">
        <f>'додаток 2'!C42</f>
        <v>3000</v>
      </c>
      <c r="D25" s="738">
        <f>'додаток 2'!D42</f>
        <v>0</v>
      </c>
      <c r="E25" s="738">
        <f>'додаток 2'!E42</f>
        <v>0</v>
      </c>
      <c r="F25" s="738">
        <f>'додаток 2'!F42</f>
        <v>0</v>
      </c>
      <c r="G25" s="738">
        <f>'додаток 2'!G42</f>
        <v>0</v>
      </c>
      <c r="H25" s="738">
        <f>'додаток 2'!H42</f>
        <v>0</v>
      </c>
      <c r="I25" s="738">
        <f>'додаток 2'!I42</f>
        <v>0</v>
      </c>
      <c r="J25" s="738">
        <f>'додаток 2'!J42</f>
        <v>0</v>
      </c>
      <c r="K25" s="738">
        <f>'додаток 2'!K42</f>
        <v>0</v>
      </c>
      <c r="L25" s="738">
        <f>'додаток 2'!L42</f>
        <v>0</v>
      </c>
      <c r="M25" s="738">
        <f>C25+F25</f>
        <v>3000</v>
      </c>
      <c r="N25" s="728"/>
    </row>
    <row r="26" spans="1:14" s="747" customFormat="1" ht="31.5">
      <c r="A26" s="591"/>
      <c r="B26" s="644" t="s">
        <v>891</v>
      </c>
      <c r="C26" s="738">
        <f>'додаток 2'!C43</f>
        <v>40207.49</v>
      </c>
      <c r="D26" s="738">
        <f>'додаток 2'!D43</f>
        <v>0</v>
      </c>
      <c r="E26" s="738">
        <f>'додаток 2'!E43</f>
        <v>0</v>
      </c>
      <c r="F26" s="738">
        <f>'додаток 2'!F43</f>
        <v>0</v>
      </c>
      <c r="G26" s="738">
        <f>'додаток 2'!G43</f>
        <v>0</v>
      </c>
      <c r="H26" s="738">
        <f>'додаток 2'!H43</f>
        <v>0</v>
      </c>
      <c r="I26" s="738">
        <f>'додаток 2'!I43</f>
        <v>0</v>
      </c>
      <c r="J26" s="738">
        <f>'додаток 2'!J43</f>
        <v>0</v>
      </c>
      <c r="K26" s="738">
        <f>'додаток 2'!K43</f>
        <v>0</v>
      </c>
      <c r="L26" s="738">
        <f>'додаток 2'!L43</f>
        <v>0</v>
      </c>
      <c r="M26" s="738">
        <f>C26+F26</f>
        <v>40207.49</v>
      </c>
      <c r="N26" s="728"/>
    </row>
    <row r="27" spans="1:14" s="747" customFormat="1" ht="51" customHeight="1">
      <c r="A27" s="591" t="s">
        <v>471</v>
      </c>
      <c r="B27" s="644" t="s">
        <v>470</v>
      </c>
      <c r="C27" s="738">
        <f>'додаток 2'!C44</f>
        <v>11851.25</v>
      </c>
      <c r="D27" s="738">
        <f>'додаток 2'!D44</f>
        <v>0</v>
      </c>
      <c r="E27" s="738">
        <f>'додаток 2'!E44</f>
        <v>0</v>
      </c>
      <c r="F27" s="738">
        <f>'додаток 2'!F44</f>
        <v>7691.59</v>
      </c>
      <c r="G27" s="738">
        <f>'додаток 2'!G44</f>
        <v>0</v>
      </c>
      <c r="H27" s="738">
        <f>'додаток 2'!H44</f>
        <v>0</v>
      </c>
      <c r="I27" s="738">
        <f>'додаток 2'!I44</f>
        <v>0</v>
      </c>
      <c r="J27" s="738">
        <f>'додаток 2'!J44</f>
        <v>7691.59</v>
      </c>
      <c r="K27" s="738">
        <f>'додаток 2'!K44</f>
        <v>7691.59</v>
      </c>
      <c r="L27" s="738">
        <f>'додаток 2'!L44</f>
        <v>0</v>
      </c>
      <c r="M27" s="738">
        <f>C27+F27</f>
        <v>19542.84</v>
      </c>
      <c r="N27" s="728"/>
    </row>
    <row r="28" spans="1:14" s="747" customFormat="1" ht="31.5">
      <c r="A28" s="591" t="s">
        <v>469</v>
      </c>
      <c r="B28" s="644" t="s">
        <v>468</v>
      </c>
      <c r="C28" s="738">
        <f>'додаток 2'!C45</f>
        <v>36128.34</v>
      </c>
      <c r="D28" s="738">
        <f>'додаток 2'!D45</f>
        <v>0</v>
      </c>
      <c r="E28" s="738">
        <f>'додаток 2'!E45</f>
        <v>0</v>
      </c>
      <c r="F28" s="738">
        <f>'додаток 2'!F45</f>
        <v>24668.57</v>
      </c>
      <c r="G28" s="738">
        <f>'додаток 2'!G45</f>
        <v>0</v>
      </c>
      <c r="H28" s="738">
        <f>'додаток 2'!H45</f>
        <v>0</v>
      </c>
      <c r="I28" s="738">
        <f>'додаток 2'!I45</f>
        <v>0</v>
      </c>
      <c r="J28" s="738">
        <f>'додаток 2'!J45</f>
        <v>24668.57</v>
      </c>
      <c r="K28" s="738">
        <f>'додаток 2'!K45</f>
        <v>24668.57</v>
      </c>
      <c r="L28" s="738">
        <f>'додаток 2'!L45</f>
        <v>0</v>
      </c>
      <c r="M28" s="738">
        <f>C28+F28</f>
        <v>60796.909999999996</v>
      </c>
      <c r="N28" s="728"/>
    </row>
    <row r="29" spans="1:14" s="747" customFormat="1" ht="15.75">
      <c r="A29" s="707" t="s">
        <v>467</v>
      </c>
      <c r="B29" s="706" t="s">
        <v>466</v>
      </c>
      <c r="C29" s="738">
        <f>'додаток 2'!C46</f>
        <v>14000.4</v>
      </c>
      <c r="D29" s="738">
        <f>'додаток 2'!D46</f>
        <v>0</v>
      </c>
      <c r="E29" s="738">
        <f>'додаток 2'!E46</f>
        <v>0</v>
      </c>
      <c r="F29" s="738">
        <f>'додаток 2'!F46</f>
        <v>12000</v>
      </c>
      <c r="G29" s="738">
        <f>'додаток 2'!G46</f>
        <v>0</v>
      </c>
      <c r="H29" s="738">
        <f>'додаток 2'!H46</f>
        <v>0</v>
      </c>
      <c r="I29" s="738">
        <f>'додаток 2'!I46</f>
        <v>0</v>
      </c>
      <c r="J29" s="738">
        <f>'додаток 2'!J46</f>
        <v>12000</v>
      </c>
      <c r="K29" s="738">
        <f>'додаток 2'!K46</f>
        <v>12000</v>
      </c>
      <c r="L29" s="738">
        <f>'додаток 2'!L46</f>
        <v>0</v>
      </c>
      <c r="M29" s="738">
        <f>C29+F29</f>
        <v>26000.4</v>
      </c>
      <c r="N29" s="728"/>
    </row>
    <row r="30" spans="1:14" s="747" customFormat="1" ht="15.75">
      <c r="A30" s="591" t="s">
        <v>14</v>
      </c>
      <c r="B30" s="644" t="s">
        <v>890</v>
      </c>
      <c r="C30" s="738">
        <f>'додаток 2'!C47</f>
        <v>49523.64</v>
      </c>
      <c r="D30" s="738">
        <f>'додаток 2'!D47</f>
        <v>0</v>
      </c>
      <c r="E30" s="738">
        <f>'додаток 2'!E47</f>
        <v>0</v>
      </c>
      <c r="F30" s="738">
        <f>'додаток 2'!F47</f>
        <v>225550</v>
      </c>
      <c r="G30" s="738">
        <f>'додаток 2'!G47</f>
        <v>0</v>
      </c>
      <c r="H30" s="738">
        <f>'додаток 2'!H47</f>
        <v>0</v>
      </c>
      <c r="I30" s="738">
        <f>'додаток 2'!I47</f>
        <v>0</v>
      </c>
      <c r="J30" s="738">
        <f>'додаток 2'!J47</f>
        <v>225550</v>
      </c>
      <c r="K30" s="738">
        <f>'додаток 2'!K47</f>
        <v>225550</v>
      </c>
      <c r="L30" s="738">
        <f>'додаток 2'!L47</f>
        <v>0</v>
      </c>
      <c r="M30" s="738">
        <f>C30+F30</f>
        <v>275073.64</v>
      </c>
      <c r="N30" s="728"/>
    </row>
    <row r="31" spans="1:14" s="747" customFormat="1" ht="47.25">
      <c r="A31" s="591"/>
      <c r="B31" s="644" t="s">
        <v>90</v>
      </c>
      <c r="C31" s="738">
        <f>'додаток 2'!C48</f>
        <v>6886</v>
      </c>
      <c r="D31" s="738">
        <f>'додаток 2'!D48</f>
        <v>0</v>
      </c>
      <c r="E31" s="738">
        <f>'додаток 2'!E48</f>
        <v>0</v>
      </c>
      <c r="F31" s="738">
        <f>'додаток 2'!F48</f>
        <v>0</v>
      </c>
      <c r="G31" s="738">
        <f>'додаток 2'!G48</f>
        <v>0</v>
      </c>
      <c r="H31" s="738">
        <f>'додаток 2'!H48</f>
        <v>0</v>
      </c>
      <c r="I31" s="738">
        <f>'додаток 2'!I48</f>
        <v>0</v>
      </c>
      <c r="J31" s="738">
        <f>'додаток 2'!J48</f>
        <v>0</v>
      </c>
      <c r="K31" s="738">
        <f>'додаток 2'!K48</f>
        <v>0</v>
      </c>
      <c r="L31" s="738">
        <f>'додаток 2'!L48</f>
        <v>0</v>
      </c>
      <c r="M31" s="738">
        <f>C31+F31</f>
        <v>6886</v>
      </c>
      <c r="N31" s="728"/>
    </row>
    <row r="32" spans="1:14" s="747" customFormat="1" ht="47.25">
      <c r="A32" s="591"/>
      <c r="B32" s="590" t="s">
        <v>87</v>
      </c>
      <c r="C32" s="738">
        <f>'додаток 2'!C49</f>
        <v>0</v>
      </c>
      <c r="D32" s="738">
        <f>'додаток 2'!D49</f>
        <v>0</v>
      </c>
      <c r="E32" s="738">
        <f>'додаток 2'!E49</f>
        <v>0</v>
      </c>
      <c r="F32" s="738">
        <f>'додаток 2'!F49</f>
        <v>16290</v>
      </c>
      <c r="G32" s="738">
        <f>'додаток 2'!G49</f>
        <v>0</v>
      </c>
      <c r="H32" s="738">
        <f>'додаток 2'!H49</f>
        <v>0</v>
      </c>
      <c r="I32" s="738">
        <f>'додаток 2'!I49</f>
        <v>0</v>
      </c>
      <c r="J32" s="738">
        <f>'додаток 2'!J49</f>
        <v>16290</v>
      </c>
      <c r="K32" s="738">
        <f>'додаток 2'!K49</f>
        <v>16290</v>
      </c>
      <c r="L32" s="738">
        <f>'додаток 2'!L49</f>
        <v>0</v>
      </c>
      <c r="M32" s="738">
        <f>C32+F32</f>
        <v>16290</v>
      </c>
      <c r="N32" s="728"/>
    </row>
    <row r="33" spans="1:14" s="747" customFormat="1" ht="63">
      <c r="A33" s="591"/>
      <c r="B33" s="590" t="s">
        <v>118</v>
      </c>
      <c r="C33" s="738">
        <f>'додаток 2'!C50</f>
        <v>4492.54</v>
      </c>
      <c r="D33" s="738">
        <f>'додаток 2'!D50</f>
        <v>0</v>
      </c>
      <c r="E33" s="738">
        <f>'додаток 2'!E50</f>
        <v>0</v>
      </c>
      <c r="F33" s="738">
        <f>'додаток 2'!F50</f>
        <v>0</v>
      </c>
      <c r="G33" s="738">
        <f>'додаток 2'!G50</f>
        <v>0</v>
      </c>
      <c r="H33" s="738">
        <f>'додаток 2'!H50</f>
        <v>0</v>
      </c>
      <c r="I33" s="738">
        <f>'додаток 2'!I50</f>
        <v>0</v>
      </c>
      <c r="J33" s="738">
        <f>'додаток 2'!J50</f>
        <v>0</v>
      </c>
      <c r="K33" s="738">
        <f>'додаток 2'!K50</f>
        <v>0</v>
      </c>
      <c r="L33" s="738">
        <f>'додаток 2'!L50</f>
        <v>0</v>
      </c>
      <c r="M33" s="738">
        <f>C33+F33</f>
        <v>4492.54</v>
      </c>
      <c r="N33" s="728"/>
    </row>
    <row r="34" spans="1:14" s="747" customFormat="1" ht="31.5">
      <c r="A34" s="591"/>
      <c r="B34" s="590" t="s">
        <v>96</v>
      </c>
      <c r="C34" s="738">
        <f>'додаток 2'!C51</f>
        <v>12368.09</v>
      </c>
      <c r="D34" s="738">
        <f>'додаток 2'!D51</f>
        <v>0</v>
      </c>
      <c r="E34" s="738">
        <f>'додаток 2'!E51</f>
        <v>0</v>
      </c>
      <c r="F34" s="738">
        <f>'додаток 2'!F51</f>
        <v>158860</v>
      </c>
      <c r="G34" s="738">
        <f>'додаток 2'!G51</f>
        <v>0</v>
      </c>
      <c r="H34" s="738">
        <f>'додаток 2'!H51</f>
        <v>0</v>
      </c>
      <c r="I34" s="738">
        <f>'додаток 2'!I51</f>
        <v>0</v>
      </c>
      <c r="J34" s="738">
        <f>'додаток 2'!J51</f>
        <v>158860</v>
      </c>
      <c r="K34" s="738">
        <f>'додаток 2'!K51</f>
        <v>158860</v>
      </c>
      <c r="L34" s="738">
        <f>'додаток 2'!L51</f>
        <v>0</v>
      </c>
      <c r="M34" s="738">
        <f>C34+F34</f>
        <v>171228.09</v>
      </c>
      <c r="N34" s="728"/>
    </row>
    <row r="35" spans="1:14" s="747" customFormat="1" ht="47.25">
      <c r="A35" s="591"/>
      <c r="B35" s="590" t="s">
        <v>86</v>
      </c>
      <c r="C35" s="738">
        <f>'додаток 2'!C52</f>
        <v>5797.01</v>
      </c>
      <c r="D35" s="738">
        <f>'додаток 2'!D52</f>
        <v>0</v>
      </c>
      <c r="E35" s="738">
        <f>'додаток 2'!E52</f>
        <v>0</v>
      </c>
      <c r="F35" s="738">
        <f>'додаток 2'!F52</f>
        <v>15000</v>
      </c>
      <c r="G35" s="738">
        <f>'додаток 2'!G52</f>
        <v>0</v>
      </c>
      <c r="H35" s="738">
        <f>'додаток 2'!H52</f>
        <v>0</v>
      </c>
      <c r="I35" s="738">
        <f>'додаток 2'!I52</f>
        <v>0</v>
      </c>
      <c r="J35" s="738">
        <f>'додаток 2'!J52</f>
        <v>15000</v>
      </c>
      <c r="K35" s="738">
        <f>'додаток 2'!K52</f>
        <v>15000</v>
      </c>
      <c r="L35" s="738">
        <f>'додаток 2'!L52</f>
        <v>0</v>
      </c>
      <c r="M35" s="738">
        <f>C35+F35</f>
        <v>20797.010000000002</v>
      </c>
      <c r="N35" s="728"/>
    </row>
    <row r="36" spans="1:14" s="747" customFormat="1" ht="47.25">
      <c r="A36" s="591"/>
      <c r="B36" s="590" t="s">
        <v>92</v>
      </c>
      <c r="C36" s="738">
        <f>'додаток 2'!C53</f>
        <v>9980</v>
      </c>
      <c r="D36" s="738">
        <f>'додаток 2'!D53</f>
        <v>0</v>
      </c>
      <c r="E36" s="738">
        <f>'додаток 2'!E53</f>
        <v>0</v>
      </c>
      <c r="F36" s="738">
        <f>'додаток 2'!F53</f>
        <v>0</v>
      </c>
      <c r="G36" s="738">
        <f>'додаток 2'!G53</f>
        <v>0</v>
      </c>
      <c r="H36" s="738">
        <f>'додаток 2'!H53</f>
        <v>0</v>
      </c>
      <c r="I36" s="738">
        <f>'додаток 2'!I53</f>
        <v>0</v>
      </c>
      <c r="J36" s="738">
        <f>'додаток 2'!J53</f>
        <v>0</v>
      </c>
      <c r="K36" s="738">
        <f>'додаток 2'!K53</f>
        <v>0</v>
      </c>
      <c r="L36" s="738">
        <f>'додаток 2'!L53</f>
        <v>0</v>
      </c>
      <c r="M36" s="738">
        <f>C36+F36</f>
        <v>9980</v>
      </c>
      <c r="N36" s="728"/>
    </row>
    <row r="37" spans="1:14" s="747" customFormat="1" ht="66" customHeight="1">
      <c r="A37" s="591"/>
      <c r="B37" s="590" t="s">
        <v>889</v>
      </c>
      <c r="C37" s="738">
        <f>'додаток 2'!C54</f>
        <v>0</v>
      </c>
      <c r="D37" s="738">
        <f>'додаток 2'!D54</f>
        <v>0</v>
      </c>
      <c r="E37" s="738">
        <f>'додаток 2'!E54</f>
        <v>0</v>
      </c>
      <c r="F37" s="738">
        <f>'додаток 2'!F54</f>
        <v>10400</v>
      </c>
      <c r="G37" s="738">
        <f>'додаток 2'!G54</f>
        <v>0</v>
      </c>
      <c r="H37" s="738">
        <f>'додаток 2'!H54</f>
        <v>0</v>
      </c>
      <c r="I37" s="738">
        <f>'додаток 2'!I54</f>
        <v>0</v>
      </c>
      <c r="J37" s="738">
        <f>'додаток 2'!J54</f>
        <v>10400</v>
      </c>
      <c r="K37" s="738">
        <f>'додаток 2'!K54</f>
        <v>10400</v>
      </c>
      <c r="L37" s="738">
        <f>'додаток 2'!L54</f>
        <v>0</v>
      </c>
      <c r="M37" s="738">
        <f>C37+F37</f>
        <v>10400</v>
      </c>
      <c r="N37" s="728"/>
    </row>
    <row r="38" spans="1:14" s="747" customFormat="1" ht="47.25">
      <c r="A38" s="591"/>
      <c r="B38" s="590" t="s">
        <v>930</v>
      </c>
      <c r="C38" s="738">
        <f>'додаток 2'!C55</f>
        <v>10000</v>
      </c>
      <c r="D38" s="738">
        <f>'додаток 2'!D55</f>
        <v>0</v>
      </c>
      <c r="E38" s="738">
        <f>'додаток 2'!E55</f>
        <v>0</v>
      </c>
      <c r="F38" s="738">
        <f>'додаток 2'!F55</f>
        <v>0</v>
      </c>
      <c r="G38" s="738">
        <f>'додаток 2'!G55</f>
        <v>0</v>
      </c>
      <c r="H38" s="738">
        <f>'додаток 2'!H55</f>
        <v>0</v>
      </c>
      <c r="I38" s="738">
        <f>'додаток 2'!I55</f>
        <v>0</v>
      </c>
      <c r="J38" s="738">
        <f>'додаток 2'!J55</f>
        <v>0</v>
      </c>
      <c r="K38" s="738">
        <f>'додаток 2'!K55</f>
        <v>0</v>
      </c>
      <c r="L38" s="738">
        <f>'додаток 2'!L55</f>
        <v>0</v>
      </c>
      <c r="M38" s="738">
        <f>C38+F38</f>
        <v>10000</v>
      </c>
      <c r="N38" s="728"/>
    </row>
    <row r="39" spans="1:14" s="747" customFormat="1" ht="35.25" customHeight="1">
      <c r="A39" s="591"/>
      <c r="B39" s="590" t="s">
        <v>89</v>
      </c>
      <c r="C39" s="738">
        <f>'додаток 2'!C56</f>
        <v>0</v>
      </c>
      <c r="D39" s="738">
        <f>'додаток 2'!D56</f>
        <v>0</v>
      </c>
      <c r="E39" s="738">
        <f>'додаток 2'!E56</f>
        <v>0</v>
      </c>
      <c r="F39" s="738">
        <f>'додаток 2'!F56</f>
        <v>25000</v>
      </c>
      <c r="G39" s="738">
        <f>'додаток 2'!G56</f>
        <v>0</v>
      </c>
      <c r="H39" s="738">
        <f>'додаток 2'!H56</f>
        <v>0</v>
      </c>
      <c r="I39" s="738">
        <f>'додаток 2'!I56</f>
        <v>0</v>
      </c>
      <c r="J39" s="738">
        <f>'додаток 2'!J56</f>
        <v>25000</v>
      </c>
      <c r="K39" s="738">
        <f>'додаток 2'!K56</f>
        <v>25000</v>
      </c>
      <c r="L39" s="738">
        <f>'додаток 2'!L56</f>
        <v>0</v>
      </c>
      <c r="M39" s="738">
        <f>C39+F39</f>
        <v>25000</v>
      </c>
      <c r="N39" s="728"/>
    </row>
    <row r="40" spans="1:14" s="746" customFormat="1" ht="15.75">
      <c r="A40" s="736" t="s">
        <v>929</v>
      </c>
      <c r="B40" s="735" t="s">
        <v>928</v>
      </c>
      <c r="C40" s="740">
        <f>SUM(C41:C53)-C43</f>
        <v>1616030.1</v>
      </c>
      <c r="D40" s="740">
        <f>SUM(D41:D53)-D43</f>
        <v>0</v>
      </c>
      <c r="E40" s="740">
        <f>SUM(E41:E53)-E43</f>
        <v>0</v>
      </c>
      <c r="F40" s="740">
        <f>SUM(F41:F53)-F43</f>
        <v>330593.02</v>
      </c>
      <c r="G40" s="740">
        <f>SUM(G41:G53)-G43</f>
        <v>39900</v>
      </c>
      <c r="H40" s="740">
        <f>SUM(H41:H53)-H43</f>
        <v>0</v>
      </c>
      <c r="I40" s="740">
        <f>SUM(I41:I53)-I43</f>
        <v>0</v>
      </c>
      <c r="J40" s="740">
        <f>SUM(J41:J53)-J43</f>
        <v>290693.02</v>
      </c>
      <c r="K40" s="740">
        <f>SUM(K41:K53)-K43</f>
        <v>290693.02</v>
      </c>
      <c r="L40" s="740">
        <f>SUM(L41:L53)-L43</f>
        <v>0</v>
      </c>
      <c r="M40" s="740">
        <f>C40+F40</f>
        <v>1946623.12</v>
      </c>
      <c r="N40" s="728"/>
    </row>
    <row r="41" spans="1:14" s="746" customFormat="1" ht="15.75">
      <c r="A41" s="591" t="s">
        <v>716</v>
      </c>
      <c r="B41" s="703" t="s">
        <v>871</v>
      </c>
      <c r="C41" s="738">
        <f>'додаток 2'!C80</f>
        <v>275810.3</v>
      </c>
      <c r="D41" s="738">
        <f>'додаток 2'!D80</f>
        <v>0</v>
      </c>
      <c r="E41" s="738">
        <f>'додаток 2'!E80</f>
        <v>0</v>
      </c>
      <c r="F41" s="738">
        <f>'додаток 2'!F80</f>
        <v>0</v>
      </c>
      <c r="G41" s="738">
        <f>'додаток 2'!G80</f>
        <v>0</v>
      </c>
      <c r="H41" s="738">
        <f>'додаток 2'!H80</f>
        <v>0</v>
      </c>
      <c r="I41" s="738">
        <f>'додаток 2'!I80</f>
        <v>0</v>
      </c>
      <c r="J41" s="738">
        <f>'додаток 2'!J80</f>
        <v>0</v>
      </c>
      <c r="K41" s="738">
        <f>'додаток 2'!K80</f>
        <v>0</v>
      </c>
      <c r="L41" s="738">
        <f>'додаток 2'!L80</f>
        <v>0</v>
      </c>
      <c r="M41" s="738">
        <f>C41+F41</f>
        <v>275810.3</v>
      </c>
      <c r="N41" s="728"/>
    </row>
    <row r="42" spans="1:14" s="746" customFormat="1" ht="94.5">
      <c r="A42" s="591" t="s">
        <v>457</v>
      </c>
      <c r="B42" s="614" t="s">
        <v>456</v>
      </c>
      <c r="C42" s="738">
        <f>'додаток 2'!C81</f>
        <v>629971.74</v>
      </c>
      <c r="D42" s="738">
        <f>'додаток 2'!D81</f>
        <v>0</v>
      </c>
      <c r="E42" s="738">
        <f>'додаток 2'!E81</f>
        <v>0</v>
      </c>
      <c r="F42" s="738">
        <f>'додаток 2'!F81</f>
        <v>229093.02</v>
      </c>
      <c r="G42" s="738">
        <f>'додаток 2'!G81</f>
        <v>39900</v>
      </c>
      <c r="H42" s="738">
        <f>'додаток 2'!H81</f>
        <v>0</v>
      </c>
      <c r="I42" s="738">
        <f>'додаток 2'!I81</f>
        <v>0</v>
      </c>
      <c r="J42" s="738">
        <f>'додаток 2'!J81</f>
        <v>189193.02</v>
      </c>
      <c r="K42" s="738">
        <f>'додаток 2'!K81</f>
        <v>189193.02</v>
      </c>
      <c r="L42" s="738">
        <f>'додаток 2'!L81</f>
        <v>0</v>
      </c>
      <c r="M42" s="738">
        <f>C42+F42</f>
        <v>859064.76</v>
      </c>
      <c r="N42" s="728"/>
    </row>
    <row r="43" spans="1:14" s="746" customFormat="1" ht="99" customHeight="1">
      <c r="A43" s="591" t="s">
        <v>821</v>
      </c>
      <c r="B43" s="618" t="s">
        <v>843</v>
      </c>
      <c r="C43" s="738">
        <f>'додаток 2'!C82</f>
        <v>0</v>
      </c>
      <c r="D43" s="738">
        <f>'додаток 2'!D82</f>
        <v>0</v>
      </c>
      <c r="E43" s="738">
        <f>'додаток 2'!E82</f>
        <v>0</v>
      </c>
      <c r="F43" s="738">
        <f>'додаток 2'!F82</f>
        <v>39900</v>
      </c>
      <c r="G43" s="738">
        <f>'додаток 2'!G82</f>
        <v>39900</v>
      </c>
      <c r="H43" s="738">
        <f>'додаток 2'!H82</f>
        <v>0</v>
      </c>
      <c r="I43" s="738">
        <f>'додаток 2'!I82</f>
        <v>0</v>
      </c>
      <c r="J43" s="738">
        <f>'додаток 2'!J82</f>
        <v>0</v>
      </c>
      <c r="K43" s="738">
        <f>'додаток 2'!K82</f>
        <v>0</v>
      </c>
      <c r="L43" s="738">
        <f>'додаток 2'!L82</f>
        <v>0</v>
      </c>
      <c r="M43" s="738">
        <f>C43+F43</f>
        <v>39900</v>
      </c>
      <c r="N43" s="728"/>
    </row>
    <row r="44" spans="1:14" s="746" customFormat="1" ht="31.5">
      <c r="A44" s="591" t="s">
        <v>711</v>
      </c>
      <c r="B44" s="614" t="s">
        <v>870</v>
      </c>
      <c r="C44" s="738">
        <f>'додаток 2'!C83</f>
        <v>129728.36</v>
      </c>
      <c r="D44" s="738">
        <f>'додаток 2'!D83</f>
        <v>0</v>
      </c>
      <c r="E44" s="738">
        <f>'додаток 2'!E83</f>
        <v>0</v>
      </c>
      <c r="F44" s="738">
        <f>'додаток 2'!F83</f>
        <v>0</v>
      </c>
      <c r="G44" s="738">
        <f>'додаток 2'!G83</f>
        <v>0</v>
      </c>
      <c r="H44" s="738">
        <f>'додаток 2'!H83</f>
        <v>0</v>
      </c>
      <c r="I44" s="738">
        <f>'додаток 2'!I83</f>
        <v>0</v>
      </c>
      <c r="J44" s="738">
        <f>'додаток 2'!J83</f>
        <v>0</v>
      </c>
      <c r="K44" s="738">
        <f>'додаток 2'!K83</f>
        <v>0</v>
      </c>
      <c r="L44" s="738">
        <f>'додаток 2'!L83</f>
        <v>0</v>
      </c>
      <c r="M44" s="738">
        <f>C44+F44</f>
        <v>129728.36</v>
      </c>
      <c r="N44" s="728"/>
    </row>
    <row r="45" spans="1:14" s="746" customFormat="1" ht="31.5">
      <c r="A45" s="591" t="s">
        <v>708</v>
      </c>
      <c r="B45" s="614" t="s">
        <v>869</v>
      </c>
      <c r="C45" s="738">
        <f>'додаток 2'!C84</f>
        <v>33365.31</v>
      </c>
      <c r="D45" s="738">
        <f>'додаток 2'!D84</f>
        <v>0</v>
      </c>
      <c r="E45" s="738">
        <f>'додаток 2'!E84</f>
        <v>0</v>
      </c>
      <c r="F45" s="738">
        <f>'додаток 2'!F84</f>
        <v>0</v>
      </c>
      <c r="G45" s="738">
        <f>'додаток 2'!G84</f>
        <v>0</v>
      </c>
      <c r="H45" s="738">
        <f>'додаток 2'!H84</f>
        <v>0</v>
      </c>
      <c r="I45" s="738">
        <f>'додаток 2'!I84</f>
        <v>0</v>
      </c>
      <c r="J45" s="738">
        <f>'додаток 2'!J84</f>
        <v>0</v>
      </c>
      <c r="K45" s="738">
        <f>'додаток 2'!K84</f>
        <v>0</v>
      </c>
      <c r="L45" s="738">
        <f>'додаток 2'!L84</f>
        <v>0</v>
      </c>
      <c r="M45" s="738">
        <f>C45+F45</f>
        <v>33365.31</v>
      </c>
      <c r="N45" s="728"/>
    </row>
    <row r="46" spans="1:14" s="746" customFormat="1" ht="31.5">
      <c r="A46" s="591" t="s">
        <v>705</v>
      </c>
      <c r="B46" s="614" t="s">
        <v>868</v>
      </c>
      <c r="C46" s="738">
        <f>'додаток 2'!C85</f>
        <v>6720.29</v>
      </c>
      <c r="D46" s="738">
        <f>'додаток 2'!D85</f>
        <v>0</v>
      </c>
      <c r="E46" s="738">
        <f>'додаток 2'!E85</f>
        <v>0</v>
      </c>
      <c r="F46" s="738">
        <f>'додаток 2'!F85</f>
        <v>0</v>
      </c>
      <c r="G46" s="738">
        <f>'додаток 2'!G85</f>
        <v>0</v>
      </c>
      <c r="H46" s="738">
        <f>'додаток 2'!H85</f>
        <v>0</v>
      </c>
      <c r="I46" s="738">
        <f>'додаток 2'!I85</f>
        <v>0</v>
      </c>
      <c r="J46" s="738">
        <f>'додаток 2'!J85</f>
        <v>0</v>
      </c>
      <c r="K46" s="738">
        <f>'додаток 2'!K85</f>
        <v>0</v>
      </c>
      <c r="L46" s="738">
        <f>'додаток 2'!L85</f>
        <v>0</v>
      </c>
      <c r="M46" s="738">
        <f>C46+F46</f>
        <v>6720.29</v>
      </c>
      <c r="N46" s="728"/>
    </row>
    <row r="47" spans="1:14" s="746" customFormat="1" ht="15.75">
      <c r="A47" s="591" t="s">
        <v>702</v>
      </c>
      <c r="B47" s="614" t="s">
        <v>867</v>
      </c>
      <c r="C47" s="738">
        <f>'додаток 2'!C86</f>
        <v>27380.3</v>
      </c>
      <c r="D47" s="738">
        <f>'додаток 2'!D87</f>
        <v>0</v>
      </c>
      <c r="E47" s="738">
        <f>'додаток 2'!E87</f>
        <v>0</v>
      </c>
      <c r="F47" s="738">
        <f>'додаток 2'!F87</f>
        <v>0</v>
      </c>
      <c r="G47" s="738">
        <f>'додаток 2'!G87</f>
        <v>0</v>
      </c>
      <c r="H47" s="738">
        <f>'додаток 2'!H87</f>
        <v>0</v>
      </c>
      <c r="I47" s="738">
        <f>'додаток 2'!I87</f>
        <v>0</v>
      </c>
      <c r="J47" s="738">
        <f>'додаток 2'!J87</f>
        <v>0</v>
      </c>
      <c r="K47" s="738">
        <f>'додаток 2'!K87</f>
        <v>0</v>
      </c>
      <c r="L47" s="738">
        <f>'додаток 2'!L87</f>
        <v>0</v>
      </c>
      <c r="M47" s="738">
        <f>C47+F47</f>
        <v>27380.3</v>
      </c>
      <c r="N47" s="728"/>
    </row>
    <row r="48" spans="1:14" s="746" customFormat="1" ht="15.75">
      <c r="A48" s="591" t="s">
        <v>699</v>
      </c>
      <c r="B48" s="614" t="s">
        <v>866</v>
      </c>
      <c r="C48" s="738">
        <f>'додаток 2'!C87</f>
        <v>28347.8</v>
      </c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28"/>
    </row>
    <row r="49" spans="1:14" s="746" customFormat="1" ht="63">
      <c r="A49" s="591" t="s">
        <v>455</v>
      </c>
      <c r="B49" s="614" t="s">
        <v>454</v>
      </c>
      <c r="C49" s="738">
        <f>'додаток 2'!C88</f>
        <v>345750.43</v>
      </c>
      <c r="D49" s="738">
        <f>'додаток 2'!D88</f>
        <v>0</v>
      </c>
      <c r="E49" s="738">
        <f>'додаток 2'!E88</f>
        <v>0</v>
      </c>
      <c r="F49" s="738">
        <f>'додаток 2'!F88</f>
        <v>71500</v>
      </c>
      <c r="G49" s="738">
        <f>'додаток 2'!G88</f>
        <v>0</v>
      </c>
      <c r="H49" s="738">
        <f>'додаток 2'!H88</f>
        <v>0</v>
      </c>
      <c r="I49" s="738">
        <f>'додаток 2'!I88</f>
        <v>0</v>
      </c>
      <c r="J49" s="738">
        <f>'додаток 2'!J88</f>
        <v>71500</v>
      </c>
      <c r="K49" s="738">
        <f>'додаток 2'!K88</f>
        <v>71500</v>
      </c>
      <c r="L49" s="738">
        <f>'додаток 2'!L88</f>
        <v>0</v>
      </c>
      <c r="M49" s="738">
        <f>C49+F49</f>
        <v>417250.43</v>
      </c>
      <c r="N49" s="728"/>
    </row>
    <row r="50" spans="1:14" s="746" customFormat="1" ht="31.5">
      <c r="A50" s="591" t="s">
        <v>865</v>
      </c>
      <c r="B50" s="614" t="s">
        <v>864</v>
      </c>
      <c r="C50" s="738">
        <f>'додаток 2'!C89</f>
        <v>4058.78</v>
      </c>
      <c r="D50" s="738"/>
      <c r="E50" s="738"/>
      <c r="F50" s="738"/>
      <c r="G50" s="738"/>
      <c r="H50" s="738"/>
      <c r="I50" s="738"/>
      <c r="J50" s="738"/>
      <c r="K50" s="738"/>
      <c r="L50" s="738"/>
      <c r="M50" s="738"/>
      <c r="N50" s="728"/>
    </row>
    <row r="51" spans="1:14" s="746" customFormat="1" ht="31.5">
      <c r="A51" s="591" t="s">
        <v>691</v>
      </c>
      <c r="B51" s="614" t="s">
        <v>863</v>
      </c>
      <c r="C51" s="738">
        <f>'додаток 2'!C90</f>
        <v>4395.73</v>
      </c>
      <c r="D51" s="738">
        <f>'додаток 2'!D90</f>
        <v>0</v>
      </c>
      <c r="E51" s="738">
        <f>'додаток 2'!E90</f>
        <v>0</v>
      </c>
      <c r="F51" s="738">
        <f>'додаток 2'!F90</f>
        <v>0</v>
      </c>
      <c r="G51" s="738">
        <f>'додаток 2'!G90</f>
        <v>0</v>
      </c>
      <c r="H51" s="738">
        <f>'додаток 2'!H90</f>
        <v>0</v>
      </c>
      <c r="I51" s="738">
        <f>'додаток 2'!I90</f>
        <v>0</v>
      </c>
      <c r="J51" s="738">
        <f>'додаток 2'!J90</f>
        <v>0</v>
      </c>
      <c r="K51" s="738">
        <f>'додаток 2'!K90</f>
        <v>0</v>
      </c>
      <c r="L51" s="738">
        <f>'додаток 2'!L90</f>
        <v>0</v>
      </c>
      <c r="M51" s="738">
        <f>C51+F51</f>
        <v>4395.73</v>
      </c>
      <c r="N51" s="728"/>
    </row>
    <row r="52" spans="1:14" s="746" customFormat="1" ht="31.5">
      <c r="A52" s="591" t="s">
        <v>688</v>
      </c>
      <c r="B52" s="614" t="s">
        <v>862</v>
      </c>
      <c r="C52" s="738">
        <f>'додаток 2'!C91</f>
        <v>49658.82</v>
      </c>
      <c r="D52" s="738">
        <f>'додаток 2'!D91</f>
        <v>0</v>
      </c>
      <c r="E52" s="738">
        <f>'додаток 2'!E91</f>
        <v>0</v>
      </c>
      <c r="F52" s="738">
        <f>'додаток 2'!F91</f>
        <v>0</v>
      </c>
      <c r="G52" s="738">
        <f>'додаток 2'!G91</f>
        <v>0</v>
      </c>
      <c r="H52" s="738">
        <f>'додаток 2'!H91</f>
        <v>0</v>
      </c>
      <c r="I52" s="738">
        <f>'додаток 2'!I91</f>
        <v>0</v>
      </c>
      <c r="J52" s="738">
        <f>'додаток 2'!J91</f>
        <v>0</v>
      </c>
      <c r="K52" s="738">
        <f>'додаток 2'!K91</f>
        <v>0</v>
      </c>
      <c r="L52" s="738">
        <f>'додаток 2'!L91</f>
        <v>0</v>
      </c>
      <c r="M52" s="738">
        <f>C52+F52</f>
        <v>49658.82</v>
      </c>
      <c r="N52" s="728"/>
    </row>
    <row r="53" spans="1:14" s="746" customFormat="1" ht="15.75">
      <c r="A53" s="591" t="s">
        <v>453</v>
      </c>
      <c r="B53" s="614" t="s">
        <v>452</v>
      </c>
      <c r="C53" s="738">
        <f>'додаток 2'!C92</f>
        <v>80842.23999999999</v>
      </c>
      <c r="D53" s="738">
        <f>'додаток 2'!D92</f>
        <v>0</v>
      </c>
      <c r="E53" s="738">
        <f>'додаток 2'!E92</f>
        <v>0</v>
      </c>
      <c r="F53" s="738">
        <f>'додаток 2'!F92</f>
        <v>30000</v>
      </c>
      <c r="G53" s="738">
        <f>'додаток 2'!G92</f>
        <v>0</v>
      </c>
      <c r="H53" s="738">
        <f>'додаток 2'!H92</f>
        <v>0</v>
      </c>
      <c r="I53" s="738">
        <f>'додаток 2'!I92</f>
        <v>0</v>
      </c>
      <c r="J53" s="738">
        <f>'додаток 2'!J92</f>
        <v>30000</v>
      </c>
      <c r="K53" s="738">
        <f>'додаток 2'!K92</f>
        <v>30000</v>
      </c>
      <c r="L53" s="738">
        <f>'додаток 2'!L92</f>
        <v>0</v>
      </c>
      <c r="M53" s="738">
        <f>C53+F53</f>
        <v>110842.23999999999</v>
      </c>
      <c r="N53" s="728"/>
    </row>
    <row r="54" spans="1:14" s="746" customFormat="1" ht="63">
      <c r="A54" s="591"/>
      <c r="B54" s="614" t="s">
        <v>861</v>
      </c>
      <c r="C54" s="738">
        <f>'додаток 2'!C93</f>
        <v>3317.23</v>
      </c>
      <c r="D54" s="738">
        <f>'додаток 2'!D93</f>
        <v>0</v>
      </c>
      <c r="E54" s="738">
        <f>'додаток 2'!E93</f>
        <v>0</v>
      </c>
      <c r="F54" s="738">
        <f>'додаток 2'!F93</f>
        <v>0</v>
      </c>
      <c r="G54" s="738">
        <f>'додаток 2'!G93</f>
        <v>0</v>
      </c>
      <c r="H54" s="738">
        <f>'додаток 2'!H93</f>
        <v>0</v>
      </c>
      <c r="I54" s="738">
        <f>'додаток 2'!I93</f>
        <v>0</v>
      </c>
      <c r="J54" s="738">
        <f>'додаток 2'!J93</f>
        <v>0</v>
      </c>
      <c r="K54" s="738">
        <f>'додаток 2'!K93</f>
        <v>0</v>
      </c>
      <c r="L54" s="738">
        <f>'додаток 2'!L93</f>
        <v>0</v>
      </c>
      <c r="M54" s="738">
        <f>C54+F54</f>
        <v>3317.23</v>
      </c>
      <c r="N54" s="728"/>
    </row>
    <row r="55" spans="1:14" s="746" customFormat="1" ht="47.25">
      <c r="A55" s="591"/>
      <c r="B55" s="614" t="s">
        <v>860</v>
      </c>
      <c r="C55" s="738">
        <f>'додаток 2'!C94</f>
        <v>19188.17</v>
      </c>
      <c r="D55" s="738">
        <f>'додаток 2'!D94</f>
        <v>0</v>
      </c>
      <c r="E55" s="738">
        <f>'додаток 2'!E94</f>
        <v>0</v>
      </c>
      <c r="F55" s="738">
        <f>'додаток 2'!F94</f>
        <v>30000</v>
      </c>
      <c r="G55" s="738">
        <f>'додаток 2'!G94</f>
        <v>0</v>
      </c>
      <c r="H55" s="738">
        <f>'додаток 2'!H94</f>
        <v>0</v>
      </c>
      <c r="I55" s="738">
        <f>'додаток 2'!I94</f>
        <v>0</v>
      </c>
      <c r="J55" s="738">
        <f>'додаток 2'!J94</f>
        <v>30000</v>
      </c>
      <c r="K55" s="738">
        <f>'додаток 2'!K94</f>
        <v>30000</v>
      </c>
      <c r="L55" s="738">
        <f>'додаток 2'!L94</f>
        <v>0</v>
      </c>
      <c r="M55" s="738">
        <f>C55+F55</f>
        <v>49188.17</v>
      </c>
      <c r="N55" s="728"/>
    </row>
    <row r="56" spans="1:14" s="746" customFormat="1" ht="31.5">
      <c r="A56" s="591"/>
      <c r="B56" s="614" t="s">
        <v>859</v>
      </c>
      <c r="C56" s="738">
        <f>'додаток 2'!C95</f>
        <v>1736.05</v>
      </c>
      <c r="D56" s="738">
        <f>'додаток 2'!D95</f>
        <v>0</v>
      </c>
      <c r="E56" s="738">
        <f>'додаток 2'!E95</f>
        <v>0</v>
      </c>
      <c r="F56" s="738">
        <f>'додаток 2'!F95</f>
        <v>0</v>
      </c>
      <c r="G56" s="738">
        <f>'додаток 2'!G95</f>
        <v>0</v>
      </c>
      <c r="H56" s="738">
        <f>'додаток 2'!H95</f>
        <v>0</v>
      </c>
      <c r="I56" s="738">
        <f>'додаток 2'!I95</f>
        <v>0</v>
      </c>
      <c r="J56" s="738">
        <f>'додаток 2'!J95</f>
        <v>0</v>
      </c>
      <c r="K56" s="738">
        <f>'додаток 2'!K95</f>
        <v>0</v>
      </c>
      <c r="L56" s="738">
        <f>'додаток 2'!L95</f>
        <v>0</v>
      </c>
      <c r="M56" s="738">
        <f>C56+F56</f>
        <v>1736.05</v>
      </c>
      <c r="N56" s="728"/>
    </row>
    <row r="57" spans="1:14" s="746" customFormat="1" ht="63">
      <c r="A57" s="591"/>
      <c r="B57" s="614" t="s">
        <v>858</v>
      </c>
      <c r="C57" s="738">
        <f>'додаток 2'!C96</f>
        <v>56600.79</v>
      </c>
      <c r="D57" s="738">
        <f>'додаток 2'!D96</f>
        <v>0</v>
      </c>
      <c r="E57" s="738">
        <f>'додаток 2'!E96</f>
        <v>0</v>
      </c>
      <c r="F57" s="738">
        <f>'додаток 2'!F96</f>
        <v>0</v>
      </c>
      <c r="G57" s="738">
        <f>'додаток 2'!G96</f>
        <v>0</v>
      </c>
      <c r="H57" s="738">
        <f>'додаток 2'!H96</f>
        <v>0</v>
      </c>
      <c r="I57" s="738">
        <f>'додаток 2'!I96</f>
        <v>0</v>
      </c>
      <c r="J57" s="738">
        <f>'додаток 2'!J96</f>
        <v>0</v>
      </c>
      <c r="K57" s="738">
        <f>'додаток 2'!K96</f>
        <v>0</v>
      </c>
      <c r="L57" s="738">
        <f>'додаток 2'!L96</f>
        <v>0</v>
      </c>
      <c r="M57" s="738">
        <f>C57+F57</f>
        <v>56600.79</v>
      </c>
      <c r="N57" s="728"/>
    </row>
    <row r="58" spans="1:14" s="727" customFormat="1" ht="31.5">
      <c r="A58" s="736" t="s">
        <v>927</v>
      </c>
      <c r="B58" s="735" t="s">
        <v>926</v>
      </c>
      <c r="C58" s="740">
        <f>C59+C60+C61+C63+C64+C68+C67+C72+C73+C74</f>
        <v>2154177.2</v>
      </c>
      <c r="D58" s="740">
        <f>D59+D60+D61+D63+D64+D68+D67+D72+D73+D74</f>
        <v>0</v>
      </c>
      <c r="E58" s="740">
        <f>E59+E60+E61+E63+E64+E68+E67+E72+E73+E74</f>
        <v>0</v>
      </c>
      <c r="F58" s="740">
        <f>F59+F60+F61+F63+F64+F68+F67+F72+F73+F74</f>
        <v>300737.02</v>
      </c>
      <c r="G58" s="740">
        <f>G59+G60+G61+G63+G64+G68+G67+G72+G73+G74</f>
        <v>0</v>
      </c>
      <c r="H58" s="740">
        <f>H59+H60+H61+H63+H64+H68+H67+H72+H73+H74</f>
        <v>0</v>
      </c>
      <c r="I58" s="740">
        <f>I59+I60+I61+I63+I64+I68+I67+I72+I73+I74</f>
        <v>0</v>
      </c>
      <c r="J58" s="740">
        <f>J59+J60+J61+J63+J64+J68+J67+J72+J73+J74</f>
        <v>300737.02</v>
      </c>
      <c r="K58" s="740">
        <f>K59+K60+K61+K63+K64+K68+K67+K72+K73+K74</f>
        <v>300737.02</v>
      </c>
      <c r="L58" s="740">
        <f>L59+L60+L61+L63+L64+L68+L67+L72+L73+L74</f>
        <v>0</v>
      </c>
      <c r="M58" s="740">
        <f>C58+F58</f>
        <v>2454914.22</v>
      </c>
      <c r="N58" s="728"/>
    </row>
    <row r="59" spans="1:14" s="727" customFormat="1" ht="31.5">
      <c r="A59" s="591" t="s">
        <v>450</v>
      </c>
      <c r="B59" s="614" t="s">
        <v>449</v>
      </c>
      <c r="C59" s="738">
        <f>'додаток 2'!C101</f>
        <v>49657.23</v>
      </c>
      <c r="D59" s="738">
        <f>'додаток 2'!D101</f>
        <v>0</v>
      </c>
      <c r="E59" s="738">
        <f>'додаток 2'!E101</f>
        <v>0</v>
      </c>
      <c r="F59" s="738">
        <f>'додаток 2'!F101</f>
        <v>4000</v>
      </c>
      <c r="G59" s="738">
        <f>'додаток 2'!G101</f>
        <v>0</v>
      </c>
      <c r="H59" s="738">
        <f>'додаток 2'!H101</f>
        <v>0</v>
      </c>
      <c r="I59" s="738">
        <f>'додаток 2'!I101</f>
        <v>0</v>
      </c>
      <c r="J59" s="738">
        <f>'додаток 2'!J101</f>
        <v>4000</v>
      </c>
      <c r="K59" s="738">
        <f>'додаток 2'!K101</f>
        <v>4000</v>
      </c>
      <c r="L59" s="738">
        <f>'додаток 2'!L101</f>
        <v>0</v>
      </c>
      <c r="M59" s="738">
        <f>C59+F59</f>
        <v>53657.23</v>
      </c>
      <c r="N59" s="728"/>
    </row>
    <row r="60" spans="1:14" s="727" customFormat="1" ht="63">
      <c r="A60" s="591" t="s">
        <v>655</v>
      </c>
      <c r="B60" s="590" t="s">
        <v>852</v>
      </c>
      <c r="C60" s="738">
        <f>'додаток 2'!C102+'додаток 2'!C116</f>
        <v>32177.57</v>
      </c>
      <c r="D60" s="738">
        <f>'додаток 2'!D102+'додаток 2'!D116</f>
        <v>0</v>
      </c>
      <c r="E60" s="738">
        <f>'додаток 2'!E102+'додаток 2'!E116</f>
        <v>0</v>
      </c>
      <c r="F60" s="738">
        <f>'додаток 2'!F102+'додаток 2'!F116</f>
        <v>0</v>
      </c>
      <c r="G60" s="738">
        <f>'додаток 2'!G102+'додаток 2'!G116</f>
        <v>0</v>
      </c>
      <c r="H60" s="738">
        <f>'додаток 2'!H102+'додаток 2'!H116</f>
        <v>0</v>
      </c>
      <c r="I60" s="738">
        <f>'додаток 2'!I102+'додаток 2'!I116</f>
        <v>0</v>
      </c>
      <c r="J60" s="738">
        <f>'додаток 2'!J102+'додаток 2'!J116</f>
        <v>0</v>
      </c>
      <c r="K60" s="738">
        <f>'додаток 2'!K102+'додаток 2'!K116</f>
        <v>0</v>
      </c>
      <c r="L60" s="738">
        <f>'додаток 2'!L102+'додаток 2'!L116</f>
        <v>0</v>
      </c>
      <c r="M60" s="738">
        <f>C60+F60</f>
        <v>32177.57</v>
      </c>
      <c r="N60" s="728"/>
    </row>
    <row r="61" spans="1:14" s="727" customFormat="1" ht="47.25">
      <c r="A61" s="591" t="s">
        <v>448</v>
      </c>
      <c r="B61" s="618" t="s">
        <v>447</v>
      </c>
      <c r="C61" s="738">
        <f>'додаток 2'!C103</f>
        <v>943191.4</v>
      </c>
      <c r="D61" s="738">
        <f>'додаток 2'!D103</f>
        <v>0</v>
      </c>
      <c r="E61" s="738">
        <f>'додаток 2'!E103</f>
        <v>0</v>
      </c>
      <c r="F61" s="738">
        <f>'додаток 2'!F103</f>
        <v>165028</v>
      </c>
      <c r="G61" s="738">
        <f>'додаток 2'!G103</f>
        <v>0</v>
      </c>
      <c r="H61" s="738">
        <f>'додаток 2'!H103</f>
        <v>0</v>
      </c>
      <c r="I61" s="738">
        <f>'додаток 2'!I103</f>
        <v>0</v>
      </c>
      <c r="J61" s="738">
        <f>'додаток 2'!J103</f>
        <v>165028</v>
      </c>
      <c r="K61" s="738">
        <f>'додаток 2'!K103</f>
        <v>165028</v>
      </c>
      <c r="L61" s="738">
        <f>'додаток 2'!L103</f>
        <v>0</v>
      </c>
      <c r="M61" s="738">
        <f>C61+F61</f>
        <v>1108219.4</v>
      </c>
      <c r="N61" s="728"/>
    </row>
    <row r="62" spans="1:14" s="727" customFormat="1" ht="100.5" customHeight="1">
      <c r="A62" s="591" t="s">
        <v>821</v>
      </c>
      <c r="B62" s="618" t="s">
        <v>843</v>
      </c>
      <c r="C62" s="738">
        <f>'додаток 2'!C104</f>
        <v>0</v>
      </c>
      <c r="D62" s="738">
        <f>'додаток 2'!D104</f>
        <v>0</v>
      </c>
      <c r="E62" s="738">
        <f>'додаток 2'!E104</f>
        <v>0</v>
      </c>
      <c r="F62" s="738">
        <f>'додаток 2'!F104</f>
        <v>9200</v>
      </c>
      <c r="G62" s="738">
        <f>'додаток 2'!G104</f>
        <v>0</v>
      </c>
      <c r="H62" s="738">
        <f>'додаток 2'!H104</f>
        <v>0</v>
      </c>
      <c r="I62" s="738">
        <f>'додаток 2'!I104</f>
        <v>0</v>
      </c>
      <c r="J62" s="738">
        <f>'додаток 2'!J104</f>
        <v>9200</v>
      </c>
      <c r="K62" s="738">
        <f>'додаток 2'!K104</f>
        <v>9200</v>
      </c>
      <c r="L62" s="738">
        <f>'додаток 2'!L104</f>
        <v>0</v>
      </c>
      <c r="M62" s="738">
        <f>C62+F62</f>
        <v>9200</v>
      </c>
      <c r="N62" s="728"/>
    </row>
    <row r="63" spans="1:14" s="727" customFormat="1" ht="31.5">
      <c r="A63" s="591" t="s">
        <v>671</v>
      </c>
      <c r="B63" s="590" t="s">
        <v>857</v>
      </c>
      <c r="C63" s="738">
        <f>'додаток 2'!C105</f>
        <v>37925.81</v>
      </c>
      <c r="D63" s="738">
        <f>'додаток 2'!D105</f>
        <v>0</v>
      </c>
      <c r="E63" s="738">
        <f>'додаток 2'!E105</f>
        <v>0</v>
      </c>
      <c r="F63" s="738">
        <f>'додаток 2'!F105</f>
        <v>0</v>
      </c>
      <c r="G63" s="738">
        <f>'додаток 2'!G105</f>
        <v>0</v>
      </c>
      <c r="H63" s="738">
        <f>'додаток 2'!H105</f>
        <v>0</v>
      </c>
      <c r="I63" s="738">
        <f>'додаток 2'!I105</f>
        <v>0</v>
      </c>
      <c r="J63" s="738">
        <f>'додаток 2'!J105</f>
        <v>0</v>
      </c>
      <c r="K63" s="738">
        <f>'додаток 2'!K105</f>
        <v>0</v>
      </c>
      <c r="L63" s="738">
        <f>'додаток 2'!L105</f>
        <v>0</v>
      </c>
      <c r="M63" s="738">
        <f>C63+F63</f>
        <v>37925.81</v>
      </c>
      <c r="N63" s="728"/>
    </row>
    <row r="64" spans="1:14" s="727" customFormat="1" ht="47.25">
      <c r="A64" s="591" t="s">
        <v>94</v>
      </c>
      <c r="B64" s="590" t="s">
        <v>95</v>
      </c>
      <c r="C64" s="738">
        <f>'додаток 2'!C106</f>
        <v>22588.22</v>
      </c>
      <c r="D64" s="738">
        <f>'додаток 2'!D106</f>
        <v>0</v>
      </c>
      <c r="E64" s="738">
        <f>'додаток 2'!E106</f>
        <v>0</v>
      </c>
      <c r="F64" s="738">
        <f>'додаток 2'!F106</f>
        <v>0</v>
      </c>
      <c r="G64" s="738">
        <f>'додаток 2'!G106</f>
        <v>0</v>
      </c>
      <c r="H64" s="738">
        <f>'додаток 2'!H106</f>
        <v>0</v>
      </c>
      <c r="I64" s="738">
        <f>'додаток 2'!I106</f>
        <v>0</v>
      </c>
      <c r="J64" s="738">
        <f>'додаток 2'!J106</f>
        <v>0</v>
      </c>
      <c r="K64" s="738">
        <f>'додаток 2'!K106</f>
        <v>0</v>
      </c>
      <c r="L64" s="738">
        <f>'додаток 2'!L106</f>
        <v>0</v>
      </c>
      <c r="M64" s="738">
        <f>C64+F64</f>
        <v>22588.22</v>
      </c>
      <c r="N64" s="728"/>
    </row>
    <row r="65" spans="1:29" s="558" customFormat="1" ht="31.5">
      <c r="A65" s="591" t="s">
        <v>821</v>
      </c>
      <c r="B65" s="590" t="s">
        <v>96</v>
      </c>
      <c r="C65" s="587">
        <v>19373.22</v>
      </c>
      <c r="D65" s="607"/>
      <c r="E65" s="607"/>
      <c r="F65" s="605"/>
      <c r="G65" s="607"/>
      <c r="H65" s="607"/>
      <c r="I65" s="607"/>
      <c r="J65" s="607"/>
      <c r="K65" s="607"/>
      <c r="L65" s="606"/>
      <c r="M65" s="738">
        <f>C65+F65</f>
        <v>19373.22</v>
      </c>
      <c r="N65" s="67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</row>
    <row r="66" spans="1:29" s="558" customFormat="1" ht="78.75">
      <c r="A66" s="591"/>
      <c r="B66" s="590" t="s">
        <v>101</v>
      </c>
      <c r="C66" s="587">
        <v>3215</v>
      </c>
      <c r="D66" s="607"/>
      <c r="E66" s="607"/>
      <c r="F66" s="605"/>
      <c r="G66" s="607"/>
      <c r="H66" s="607"/>
      <c r="I66" s="607"/>
      <c r="J66" s="607"/>
      <c r="K66" s="607"/>
      <c r="L66" s="606"/>
      <c r="M66" s="738">
        <f>C66+F66</f>
        <v>3215</v>
      </c>
      <c r="N66" s="67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</row>
    <row r="67" spans="1:14" s="727" customFormat="1" ht="47.25">
      <c r="A67" s="591" t="s">
        <v>888</v>
      </c>
      <c r="B67" s="590" t="s">
        <v>887</v>
      </c>
      <c r="C67" s="738">
        <f>'додаток 2'!C63</f>
        <v>306764.78</v>
      </c>
      <c r="D67" s="738">
        <f>'додаток 2'!D63</f>
        <v>0</v>
      </c>
      <c r="E67" s="738">
        <f>'додаток 2'!E63</f>
        <v>0</v>
      </c>
      <c r="F67" s="738">
        <f>'додаток 2'!F63</f>
        <v>0</v>
      </c>
      <c r="G67" s="738">
        <f>'додаток 2'!G63</f>
        <v>0</v>
      </c>
      <c r="H67" s="738">
        <f>'додаток 2'!H63</f>
        <v>0</v>
      </c>
      <c r="I67" s="738">
        <f>'додаток 2'!I63</f>
        <v>0</v>
      </c>
      <c r="J67" s="738">
        <f>'додаток 2'!J63</f>
        <v>0</v>
      </c>
      <c r="K67" s="738">
        <f>'додаток 2'!K63</f>
        <v>0</v>
      </c>
      <c r="L67" s="738">
        <f>'додаток 2'!L63</f>
        <v>0</v>
      </c>
      <c r="M67" s="738">
        <f>C67+F67</f>
        <v>306764.78</v>
      </c>
      <c r="N67" s="728"/>
    </row>
    <row r="68" spans="1:14" s="727" customFormat="1" ht="15.75">
      <c r="A68" s="591" t="s">
        <v>99</v>
      </c>
      <c r="B68" s="590" t="s">
        <v>100</v>
      </c>
      <c r="C68" s="738">
        <f>C69+C71</f>
        <v>35686.81</v>
      </c>
      <c r="D68" s="738">
        <f>D69+D71</f>
        <v>0</v>
      </c>
      <c r="E68" s="738">
        <f>E69+E71</f>
        <v>0</v>
      </c>
      <c r="F68" s="738">
        <f>F69+F71</f>
        <v>0</v>
      </c>
      <c r="G68" s="738">
        <f>G69+G71</f>
        <v>0</v>
      </c>
      <c r="H68" s="738">
        <f>H69+H71</f>
        <v>0</v>
      </c>
      <c r="I68" s="738">
        <f>I69+I71</f>
        <v>0</v>
      </c>
      <c r="J68" s="738">
        <f>J69+J71</f>
        <v>0</v>
      </c>
      <c r="K68" s="738">
        <f>K69+K71</f>
        <v>0</v>
      </c>
      <c r="L68" s="738">
        <f>L69+L71</f>
        <v>0</v>
      </c>
      <c r="M68" s="738">
        <f>C68+F68</f>
        <v>35686.81</v>
      </c>
      <c r="N68" s="728"/>
    </row>
    <row r="69" spans="1:14" s="727" customFormat="1" ht="78.75">
      <c r="A69" s="591" t="s">
        <v>821</v>
      </c>
      <c r="B69" s="590" t="s">
        <v>886</v>
      </c>
      <c r="C69" s="738">
        <f>'додаток 2'!C65</f>
        <v>35524.74</v>
      </c>
      <c r="D69" s="738">
        <f>'додаток 2'!D65</f>
        <v>0</v>
      </c>
      <c r="E69" s="738">
        <f>'додаток 2'!E65</f>
        <v>0</v>
      </c>
      <c r="F69" s="738">
        <f>'додаток 2'!F65</f>
        <v>0</v>
      </c>
      <c r="G69" s="738">
        <f>'додаток 2'!G65</f>
        <v>0</v>
      </c>
      <c r="H69" s="738">
        <f>'додаток 2'!H65</f>
        <v>0</v>
      </c>
      <c r="I69" s="738">
        <f>'додаток 2'!I65</f>
        <v>0</v>
      </c>
      <c r="J69" s="738">
        <f>'додаток 2'!J65</f>
        <v>0</v>
      </c>
      <c r="K69" s="738">
        <f>'додаток 2'!K65</f>
        <v>0</v>
      </c>
      <c r="L69" s="738">
        <f>'додаток 2'!L65</f>
        <v>0</v>
      </c>
      <c r="M69" s="738">
        <f>C69+F69</f>
        <v>35524.74</v>
      </c>
      <c r="N69" s="728"/>
    </row>
    <row r="70" spans="1:14" s="727" customFormat="1" ht="31.5">
      <c r="A70" s="591"/>
      <c r="B70" s="590" t="s">
        <v>96</v>
      </c>
      <c r="C70" s="738">
        <f>'додаток 2'!C66</f>
        <v>15000</v>
      </c>
      <c r="D70" s="738"/>
      <c r="E70" s="738"/>
      <c r="F70" s="738"/>
      <c r="G70" s="738"/>
      <c r="H70" s="738"/>
      <c r="I70" s="738"/>
      <c r="J70" s="738"/>
      <c r="K70" s="738"/>
      <c r="L70" s="738"/>
      <c r="M70" s="738">
        <f>C70+F70</f>
        <v>15000</v>
      </c>
      <c r="N70" s="728"/>
    </row>
    <row r="71" spans="1:14" s="727" customFormat="1" ht="47.25">
      <c r="A71" s="591"/>
      <c r="B71" s="590" t="s">
        <v>855</v>
      </c>
      <c r="C71" s="738">
        <f>'додаток 2'!C110</f>
        <v>162.07</v>
      </c>
      <c r="D71" s="738">
        <f>'додаток 2'!D110</f>
        <v>0</v>
      </c>
      <c r="E71" s="738">
        <f>'додаток 2'!E110</f>
        <v>0</v>
      </c>
      <c r="F71" s="738">
        <f>'додаток 2'!F110</f>
        <v>0</v>
      </c>
      <c r="G71" s="738">
        <f>'додаток 2'!G110</f>
        <v>0</v>
      </c>
      <c r="H71" s="738">
        <f>'додаток 2'!H110</f>
        <v>0</v>
      </c>
      <c r="I71" s="738">
        <f>'додаток 2'!I110</f>
        <v>0</v>
      </c>
      <c r="J71" s="738">
        <f>'додаток 2'!J110</f>
        <v>0</v>
      </c>
      <c r="K71" s="738">
        <f>'додаток 2'!K110</f>
        <v>0</v>
      </c>
      <c r="L71" s="738">
        <f>'додаток 2'!L110</f>
        <v>0</v>
      </c>
      <c r="M71" s="738">
        <f>C71+F71</f>
        <v>162.07</v>
      </c>
      <c r="N71" s="728"/>
    </row>
    <row r="72" spans="1:14" s="727" customFormat="1" ht="47.25">
      <c r="A72" s="591" t="s">
        <v>446</v>
      </c>
      <c r="B72" s="608" t="s">
        <v>445</v>
      </c>
      <c r="C72" s="738">
        <f>'додаток 2'!C111</f>
        <v>519637.74</v>
      </c>
      <c r="D72" s="738">
        <f>'додаток 2'!D111</f>
        <v>0</v>
      </c>
      <c r="E72" s="738">
        <f>'додаток 2'!E111</f>
        <v>0</v>
      </c>
      <c r="F72" s="738">
        <f>'додаток 2'!F111</f>
        <v>39800</v>
      </c>
      <c r="G72" s="738">
        <f>'додаток 2'!G111</f>
        <v>0</v>
      </c>
      <c r="H72" s="738">
        <f>'додаток 2'!H111</f>
        <v>0</v>
      </c>
      <c r="I72" s="738">
        <f>'додаток 2'!I111</f>
        <v>0</v>
      </c>
      <c r="J72" s="738">
        <f>'додаток 2'!J111</f>
        <v>39800</v>
      </c>
      <c r="K72" s="738">
        <f>'додаток 2'!K111</f>
        <v>39800</v>
      </c>
      <c r="L72" s="738">
        <f>'додаток 2'!L111</f>
        <v>0</v>
      </c>
      <c r="M72" s="738">
        <f>C72+F72</f>
        <v>559437.74</v>
      </c>
      <c r="N72" s="728"/>
    </row>
    <row r="73" spans="1:14" s="727" customFormat="1" ht="34.5" customHeight="1">
      <c r="A73" s="591" t="s">
        <v>444</v>
      </c>
      <c r="B73" s="608" t="s">
        <v>443</v>
      </c>
      <c r="C73" s="738">
        <f>'додаток 2'!C112</f>
        <v>161488.47</v>
      </c>
      <c r="D73" s="738">
        <f>'додаток 2'!D112</f>
        <v>0</v>
      </c>
      <c r="E73" s="738">
        <f>'додаток 2'!E112</f>
        <v>0</v>
      </c>
      <c r="F73" s="738">
        <f>'додаток 2'!F112</f>
        <v>89034.02</v>
      </c>
      <c r="G73" s="738">
        <f>'додаток 2'!G112</f>
        <v>0</v>
      </c>
      <c r="H73" s="738">
        <f>'додаток 2'!H112</f>
        <v>0</v>
      </c>
      <c r="I73" s="738">
        <f>'додаток 2'!I112</f>
        <v>0</v>
      </c>
      <c r="J73" s="738">
        <f>'додаток 2'!J112</f>
        <v>89034.02</v>
      </c>
      <c r="K73" s="738">
        <f>'додаток 2'!K112</f>
        <v>89034.02</v>
      </c>
      <c r="L73" s="738">
        <f>'додаток 2'!L112</f>
        <v>0</v>
      </c>
      <c r="M73" s="738">
        <f>C73+F73</f>
        <v>250522.49</v>
      </c>
      <c r="N73" s="728"/>
    </row>
    <row r="74" spans="1:14" s="727" customFormat="1" ht="15.75">
      <c r="A74" s="591" t="s">
        <v>66</v>
      </c>
      <c r="B74" s="631" t="s">
        <v>661</v>
      </c>
      <c r="C74" s="738">
        <f>'додаток 2'!C113+'додаток 2'!C20</f>
        <v>45059.17</v>
      </c>
      <c r="D74" s="738">
        <f>'додаток 2'!D113+'додаток 2'!D20</f>
        <v>0</v>
      </c>
      <c r="E74" s="738">
        <f>'додаток 2'!E113+'додаток 2'!E20</f>
        <v>0</v>
      </c>
      <c r="F74" s="738">
        <f>'додаток 2'!F113+'додаток 2'!F20</f>
        <v>2875</v>
      </c>
      <c r="G74" s="738">
        <f>'додаток 2'!G113+'додаток 2'!G20</f>
        <v>0</v>
      </c>
      <c r="H74" s="738">
        <f>'додаток 2'!H113+'додаток 2'!H20</f>
        <v>0</v>
      </c>
      <c r="I74" s="738">
        <f>'додаток 2'!I113+'додаток 2'!I20</f>
        <v>0</v>
      </c>
      <c r="J74" s="738">
        <f>'додаток 2'!J113+'додаток 2'!J20</f>
        <v>2875</v>
      </c>
      <c r="K74" s="738">
        <f>'додаток 2'!K113+'додаток 2'!K20</f>
        <v>2875</v>
      </c>
      <c r="L74" s="738">
        <f>'додаток 2'!L113+'додаток 2'!L20</f>
        <v>0</v>
      </c>
      <c r="M74" s="738">
        <f>C74+F74</f>
        <v>47934.17</v>
      </c>
      <c r="N74" s="728"/>
    </row>
    <row r="75" spans="1:14" s="727" customFormat="1" ht="96.75" customHeight="1">
      <c r="A75" s="596" t="s">
        <v>821</v>
      </c>
      <c r="B75" s="624" t="s">
        <v>84</v>
      </c>
      <c r="C75" s="738">
        <f>'додаток 2'!C20</f>
        <v>10270</v>
      </c>
      <c r="D75" s="738">
        <f>'додаток 2'!D20</f>
        <v>0</v>
      </c>
      <c r="E75" s="738">
        <f>'додаток 2'!E20</f>
        <v>0</v>
      </c>
      <c r="F75" s="738">
        <f>'додаток 2'!F20</f>
        <v>2875</v>
      </c>
      <c r="G75" s="738">
        <f>'додаток 2'!G20</f>
        <v>0</v>
      </c>
      <c r="H75" s="738">
        <f>'додаток 2'!H20</f>
        <v>0</v>
      </c>
      <c r="I75" s="738">
        <f>'додаток 2'!I20</f>
        <v>0</v>
      </c>
      <c r="J75" s="738">
        <f>'додаток 2'!J20</f>
        <v>2875</v>
      </c>
      <c r="K75" s="738">
        <f>'додаток 2'!K20</f>
        <v>2875</v>
      </c>
      <c r="L75" s="738">
        <f>'додаток 2'!L20</f>
        <v>0</v>
      </c>
      <c r="M75" s="738">
        <f>C75+F75</f>
        <v>13145</v>
      </c>
      <c r="N75" s="728"/>
    </row>
    <row r="76" spans="1:14" s="727" customFormat="1" ht="15.75">
      <c r="A76" s="736">
        <v>110000</v>
      </c>
      <c r="B76" s="735" t="s">
        <v>925</v>
      </c>
      <c r="C76" s="740">
        <f>C77+C78+C79+C80+C81</f>
        <v>896827.52</v>
      </c>
      <c r="D76" s="740">
        <f>D77+D78+D79+D80+D81</f>
        <v>0</v>
      </c>
      <c r="E76" s="740">
        <f>E77+E78+E79+E80+E81</f>
        <v>0</v>
      </c>
      <c r="F76" s="740">
        <f>F77+F78+F79+F80+F81</f>
        <v>48022.13</v>
      </c>
      <c r="G76" s="740">
        <f>G77+G78+G79+G80+G81</f>
        <v>0</v>
      </c>
      <c r="H76" s="740">
        <f>H77+H78+H79+H80+H81</f>
        <v>0</v>
      </c>
      <c r="I76" s="740">
        <f>I77+I78+I79+I80+I81</f>
        <v>0</v>
      </c>
      <c r="J76" s="740">
        <f>J77+J78+J79+J80+J81</f>
        <v>48022.13</v>
      </c>
      <c r="K76" s="740">
        <f>K77+K78+K79+K80+K81</f>
        <v>48022.13</v>
      </c>
      <c r="L76" s="740">
        <f>L77+L78+L79+L80+L81</f>
        <v>0</v>
      </c>
      <c r="M76" s="740">
        <f>C76+F76</f>
        <v>944849.65</v>
      </c>
      <c r="N76" s="728"/>
    </row>
    <row r="77" spans="1:14" s="727" customFormat="1" ht="15.75">
      <c r="A77" s="591" t="s">
        <v>441</v>
      </c>
      <c r="B77" s="590" t="s">
        <v>440</v>
      </c>
      <c r="C77" s="738">
        <f>'додаток 2'!C119+'додаток 2'!C98</f>
        <v>508819.99000000005</v>
      </c>
      <c r="D77" s="738">
        <f>'додаток 2'!D119+'додаток 2'!D98</f>
        <v>0</v>
      </c>
      <c r="E77" s="738">
        <f>'додаток 2'!E119+'додаток 2'!E98</f>
        <v>0</v>
      </c>
      <c r="F77" s="738">
        <f>'додаток 2'!F119+'додаток 2'!F98</f>
        <v>48022.13</v>
      </c>
      <c r="G77" s="738">
        <f>'додаток 2'!G119+'додаток 2'!G98</f>
        <v>0</v>
      </c>
      <c r="H77" s="738">
        <f>'додаток 2'!H119+'додаток 2'!H98</f>
        <v>0</v>
      </c>
      <c r="I77" s="738">
        <f>'додаток 2'!I119+'додаток 2'!I98</f>
        <v>0</v>
      </c>
      <c r="J77" s="738">
        <f>'додаток 2'!J119+'додаток 2'!J98</f>
        <v>48022.13</v>
      </c>
      <c r="K77" s="738">
        <f>'додаток 2'!K119+'додаток 2'!K98</f>
        <v>48022.13</v>
      </c>
      <c r="L77" s="738">
        <f>'додаток 2'!L119+'додаток 2'!L98</f>
        <v>0</v>
      </c>
      <c r="M77" s="738">
        <f>C77+F77</f>
        <v>556842.12</v>
      </c>
      <c r="N77" s="728"/>
    </row>
    <row r="78" spans="1:14" s="727" customFormat="1" ht="15.75">
      <c r="A78" s="591" t="s">
        <v>653</v>
      </c>
      <c r="B78" s="590" t="s">
        <v>652</v>
      </c>
      <c r="C78" s="738">
        <f>'додаток 2'!C120</f>
        <v>165770.1</v>
      </c>
      <c r="D78" s="738">
        <f>'додаток 2'!D120</f>
        <v>0</v>
      </c>
      <c r="E78" s="738">
        <f>'додаток 2'!E120</f>
        <v>0</v>
      </c>
      <c r="F78" s="738">
        <f>'додаток 2'!F120</f>
        <v>0</v>
      </c>
      <c r="G78" s="738">
        <f>'додаток 2'!G120</f>
        <v>0</v>
      </c>
      <c r="H78" s="738">
        <f>'додаток 2'!H120</f>
        <v>0</v>
      </c>
      <c r="I78" s="738">
        <f>'додаток 2'!I120</f>
        <v>0</v>
      </c>
      <c r="J78" s="738">
        <f>'додаток 2'!J120</f>
        <v>0</v>
      </c>
      <c r="K78" s="738">
        <f>'додаток 2'!K120</f>
        <v>0</v>
      </c>
      <c r="L78" s="738">
        <f>'додаток 2'!L120</f>
        <v>0</v>
      </c>
      <c r="M78" s="738">
        <f>C78+F78</f>
        <v>165770.1</v>
      </c>
      <c r="N78" s="728"/>
    </row>
    <row r="79" spans="1:14" s="727" customFormat="1" ht="15.75">
      <c r="A79" s="591" t="s">
        <v>651</v>
      </c>
      <c r="B79" s="590" t="s">
        <v>650</v>
      </c>
      <c r="C79" s="738">
        <f>'додаток 2'!C121</f>
        <v>22717.7</v>
      </c>
      <c r="D79" s="743">
        <f>'додаток 2'!D121</f>
        <v>0</v>
      </c>
      <c r="E79" s="743">
        <f>'додаток 2'!E121</f>
        <v>0</v>
      </c>
      <c r="F79" s="738">
        <f>'додаток 2'!F121</f>
        <v>0</v>
      </c>
      <c r="G79" s="743">
        <f>'додаток 2'!G121</f>
        <v>0</v>
      </c>
      <c r="H79" s="743">
        <f>'додаток 2'!H121</f>
        <v>0</v>
      </c>
      <c r="I79" s="743">
        <f>'додаток 2'!I121</f>
        <v>0</v>
      </c>
      <c r="J79" s="743">
        <f>'додаток 2'!J121</f>
        <v>0</v>
      </c>
      <c r="K79" s="743">
        <f>'додаток 2'!K121</f>
        <v>0</v>
      </c>
      <c r="L79" s="743">
        <f>'додаток 2'!L121</f>
        <v>0</v>
      </c>
      <c r="M79" s="738">
        <f>C79+F79</f>
        <v>22717.7</v>
      </c>
      <c r="N79" s="728"/>
    </row>
    <row r="80" spans="1:14" s="727" customFormat="1" ht="33.75" customHeight="1">
      <c r="A80" s="591" t="s">
        <v>649</v>
      </c>
      <c r="B80" s="590" t="s">
        <v>648</v>
      </c>
      <c r="C80" s="738">
        <f>'додаток 2'!C122</f>
        <v>70371.1</v>
      </c>
      <c r="D80" s="743">
        <f>'додаток 2'!D122</f>
        <v>0</v>
      </c>
      <c r="E80" s="743">
        <f>'додаток 2'!E122</f>
        <v>0</v>
      </c>
      <c r="F80" s="738">
        <f>'додаток 2'!F122</f>
        <v>0</v>
      </c>
      <c r="G80" s="743">
        <f>'додаток 2'!G122</f>
        <v>0</v>
      </c>
      <c r="H80" s="743">
        <f>'додаток 2'!H122</f>
        <v>0</v>
      </c>
      <c r="I80" s="743">
        <f>'додаток 2'!I122</f>
        <v>0</v>
      </c>
      <c r="J80" s="743">
        <f>'додаток 2'!J122</f>
        <v>0</v>
      </c>
      <c r="K80" s="743">
        <f>'додаток 2'!K122</f>
        <v>0</v>
      </c>
      <c r="L80" s="743">
        <f>'додаток 2'!L122</f>
        <v>0</v>
      </c>
      <c r="M80" s="738">
        <f>C80+F80</f>
        <v>70371.1</v>
      </c>
      <c r="N80" s="728"/>
    </row>
    <row r="81" spans="1:14" s="727" customFormat="1" ht="31.5">
      <c r="A81" s="591" t="s">
        <v>646</v>
      </c>
      <c r="B81" s="625" t="s">
        <v>645</v>
      </c>
      <c r="C81" s="738">
        <f>'додаток 2'!C123</f>
        <v>129148.63</v>
      </c>
      <c r="D81" s="738">
        <f>'додаток 2'!D123</f>
        <v>0</v>
      </c>
      <c r="E81" s="738">
        <f>'додаток 2'!E123</f>
        <v>0</v>
      </c>
      <c r="F81" s="738">
        <f>'додаток 2'!F123</f>
        <v>0</v>
      </c>
      <c r="G81" s="738">
        <f>'додаток 2'!G123</f>
        <v>0</v>
      </c>
      <c r="H81" s="738">
        <f>'додаток 2'!H123</f>
        <v>0</v>
      </c>
      <c r="I81" s="738">
        <f>'додаток 2'!I123</f>
        <v>0</v>
      </c>
      <c r="J81" s="738">
        <f>'додаток 2'!J123</f>
        <v>0</v>
      </c>
      <c r="K81" s="738">
        <f>'додаток 2'!K123</f>
        <v>0</v>
      </c>
      <c r="L81" s="738">
        <f>'додаток 2'!L123</f>
        <v>0</v>
      </c>
      <c r="M81" s="738">
        <f>C81+F81</f>
        <v>129148.63</v>
      </c>
      <c r="N81" s="728"/>
    </row>
    <row r="82" spans="1:14" s="727" customFormat="1" ht="15.75">
      <c r="A82" s="736" t="s">
        <v>898</v>
      </c>
      <c r="B82" s="735" t="s">
        <v>897</v>
      </c>
      <c r="C82" s="740">
        <f>C83</f>
        <v>300000</v>
      </c>
      <c r="D82" s="740">
        <f>D83</f>
        <v>0</v>
      </c>
      <c r="E82" s="740">
        <f>E83</f>
        <v>0</v>
      </c>
      <c r="F82" s="740">
        <f>F83</f>
        <v>0</v>
      </c>
      <c r="G82" s="740">
        <f>G83</f>
        <v>0</v>
      </c>
      <c r="H82" s="740">
        <f>H83</f>
        <v>0</v>
      </c>
      <c r="I82" s="740">
        <f>I83</f>
        <v>0</v>
      </c>
      <c r="J82" s="740">
        <f>J83</f>
        <v>0</v>
      </c>
      <c r="K82" s="740">
        <f>K83</f>
        <v>0</v>
      </c>
      <c r="L82" s="740">
        <f>L83</f>
        <v>0</v>
      </c>
      <c r="M82" s="740">
        <f>C82+F82</f>
        <v>300000</v>
      </c>
      <c r="N82" s="728"/>
    </row>
    <row r="83" spans="1:15" s="727" customFormat="1" ht="15.75">
      <c r="A83" s="619" t="s">
        <v>45</v>
      </c>
      <c r="B83" s="710" t="s">
        <v>46</v>
      </c>
      <c r="C83" s="738">
        <f>'додаток 2'!C23</f>
        <v>300000</v>
      </c>
      <c r="D83" s="738"/>
      <c r="E83" s="738"/>
      <c r="F83" s="738"/>
      <c r="G83" s="738"/>
      <c r="H83" s="738"/>
      <c r="I83" s="738"/>
      <c r="J83" s="738"/>
      <c r="K83" s="738"/>
      <c r="L83" s="738"/>
      <c r="M83" s="738">
        <f>C83+F83</f>
        <v>300000</v>
      </c>
      <c r="N83" s="684"/>
      <c r="O83" s="690"/>
    </row>
    <row r="84" spans="1:15" s="727" customFormat="1" ht="95.25" customHeight="1">
      <c r="A84" s="619" t="s">
        <v>821</v>
      </c>
      <c r="B84" s="710" t="s">
        <v>47</v>
      </c>
      <c r="C84" s="738">
        <f>'додаток 2'!C24</f>
        <v>300000</v>
      </c>
      <c r="D84" s="738">
        <f>'додаток 2'!D24</f>
        <v>0</v>
      </c>
      <c r="E84" s="738">
        <f>'додаток 2'!E24</f>
        <v>0</v>
      </c>
      <c r="F84" s="738">
        <f>'додаток 2'!F24</f>
        <v>0</v>
      </c>
      <c r="G84" s="738">
        <f>'додаток 2'!G24</f>
        <v>0</v>
      </c>
      <c r="H84" s="738">
        <f>'додаток 2'!H24</f>
        <v>0</v>
      </c>
      <c r="I84" s="738">
        <f>'додаток 2'!I24</f>
        <v>0</v>
      </c>
      <c r="J84" s="738">
        <f>'додаток 2'!J24</f>
        <v>0</v>
      </c>
      <c r="K84" s="738">
        <f>'додаток 2'!K24</f>
        <v>0</v>
      </c>
      <c r="L84" s="738">
        <f>'додаток 2'!L24</f>
        <v>0</v>
      </c>
      <c r="M84" s="738">
        <f>C84+F84</f>
        <v>300000</v>
      </c>
      <c r="N84" s="684"/>
      <c r="O84" s="690"/>
    </row>
    <row r="85" spans="1:15" s="727" customFormat="1" ht="15.75">
      <c r="A85" s="736">
        <v>130000</v>
      </c>
      <c r="B85" s="735" t="s">
        <v>924</v>
      </c>
      <c r="C85" s="740">
        <f>SUM(C86:C92)</f>
        <v>2334755.93</v>
      </c>
      <c r="D85" s="740">
        <f>SUM(D86:D92)</f>
        <v>0</v>
      </c>
      <c r="E85" s="740">
        <f>SUM(E86:E92)</f>
        <v>0</v>
      </c>
      <c r="F85" s="740">
        <f>SUM(F86:F92)</f>
        <v>116446.20999999999</v>
      </c>
      <c r="G85" s="740">
        <f>SUM(G86:G92)</f>
        <v>0</v>
      </c>
      <c r="H85" s="740">
        <f>SUM(H86:H92)</f>
        <v>0</v>
      </c>
      <c r="I85" s="740">
        <f>SUM(I86:I92)</f>
        <v>0</v>
      </c>
      <c r="J85" s="740">
        <f>SUM(J86:J92)</f>
        <v>116446.20999999999</v>
      </c>
      <c r="K85" s="740">
        <f>SUM(K86:K92)</f>
        <v>116446.20999999999</v>
      </c>
      <c r="L85" s="740">
        <f>SUM(L86:L92)</f>
        <v>0</v>
      </c>
      <c r="M85" s="740">
        <f>C85+F85</f>
        <v>2451202.14</v>
      </c>
      <c r="N85" s="619"/>
      <c r="O85" s="710"/>
    </row>
    <row r="86" spans="1:14" s="727" customFormat="1" ht="31.5">
      <c r="A86" s="591" t="s">
        <v>883</v>
      </c>
      <c r="B86" s="590" t="s">
        <v>882</v>
      </c>
      <c r="C86" s="738">
        <f>'додаток 2'!C68+'додаток 2'!C58</f>
        <v>726917.7999999999</v>
      </c>
      <c r="D86" s="738">
        <f>'додаток 2'!D68+'додаток 2'!D58</f>
        <v>0</v>
      </c>
      <c r="E86" s="738">
        <f>'додаток 2'!E68+'додаток 2'!E58</f>
        <v>0</v>
      </c>
      <c r="F86" s="738">
        <f>'додаток 2'!F68+'додаток 2'!F58</f>
        <v>0</v>
      </c>
      <c r="G86" s="738">
        <f>'додаток 2'!G68+'додаток 2'!G58</f>
        <v>0</v>
      </c>
      <c r="H86" s="738">
        <f>'додаток 2'!H68+'додаток 2'!H58</f>
        <v>0</v>
      </c>
      <c r="I86" s="738">
        <f>'додаток 2'!I68+'додаток 2'!I58</f>
        <v>0</v>
      </c>
      <c r="J86" s="738">
        <f>'додаток 2'!J68+'додаток 2'!J58</f>
        <v>0</v>
      </c>
      <c r="K86" s="738">
        <f>'додаток 2'!K68+'додаток 2'!K58</f>
        <v>0</v>
      </c>
      <c r="L86" s="738">
        <f>'додаток 2'!L68+'додаток 2'!L58</f>
        <v>0</v>
      </c>
      <c r="M86" s="738">
        <f>C86+F86</f>
        <v>726917.7999999999</v>
      </c>
      <c r="N86" s="728"/>
    </row>
    <row r="87" spans="1:14" s="727" customFormat="1" ht="47.25">
      <c r="A87" s="591" t="s">
        <v>105</v>
      </c>
      <c r="B87" s="590" t="s">
        <v>463</v>
      </c>
      <c r="C87" s="738">
        <f>'додаток 2'!C69</f>
        <v>139131.86</v>
      </c>
      <c r="D87" s="738">
        <f>'додаток 2'!D69</f>
        <v>0</v>
      </c>
      <c r="E87" s="738">
        <f>'додаток 2'!E69</f>
        <v>0</v>
      </c>
      <c r="F87" s="738">
        <f>'додаток 2'!F69</f>
        <v>54346.21</v>
      </c>
      <c r="G87" s="738">
        <f>'додаток 2'!G69</f>
        <v>0</v>
      </c>
      <c r="H87" s="738">
        <f>'додаток 2'!H69</f>
        <v>0</v>
      </c>
      <c r="I87" s="738">
        <f>'додаток 2'!I69</f>
        <v>0</v>
      </c>
      <c r="J87" s="738">
        <f>'додаток 2'!J69</f>
        <v>54346.21</v>
      </c>
      <c r="K87" s="738">
        <f>'додаток 2'!K69</f>
        <v>54346.21</v>
      </c>
      <c r="L87" s="738">
        <f>'додаток 2'!L69</f>
        <v>0</v>
      </c>
      <c r="M87" s="738">
        <f>C87+F87</f>
        <v>193478.06999999998</v>
      </c>
      <c r="N87" s="728"/>
    </row>
    <row r="88" spans="1:14" s="727" customFormat="1" ht="47.25">
      <c r="A88" s="591" t="s">
        <v>107</v>
      </c>
      <c r="B88" s="590" t="s">
        <v>108</v>
      </c>
      <c r="C88" s="738">
        <f>'додаток 2'!C70</f>
        <v>493393.28</v>
      </c>
      <c r="D88" s="738">
        <f>'додаток 2'!D70</f>
        <v>0</v>
      </c>
      <c r="E88" s="738">
        <f>'додаток 2'!E70</f>
        <v>0</v>
      </c>
      <c r="F88" s="738">
        <f>'додаток 2'!F70</f>
        <v>0</v>
      </c>
      <c r="G88" s="738">
        <f>'додаток 2'!G70</f>
        <v>0</v>
      </c>
      <c r="H88" s="738">
        <f>'додаток 2'!H70</f>
        <v>0</v>
      </c>
      <c r="I88" s="738">
        <f>'додаток 2'!I70</f>
        <v>0</v>
      </c>
      <c r="J88" s="738">
        <f>'додаток 2'!J70</f>
        <v>0</v>
      </c>
      <c r="K88" s="738">
        <f>'додаток 2'!K70</f>
        <v>0</v>
      </c>
      <c r="L88" s="738">
        <f>'додаток 2'!L70</f>
        <v>0</v>
      </c>
      <c r="M88" s="738">
        <f>C88+F88</f>
        <v>493393.28</v>
      </c>
      <c r="N88" s="728"/>
    </row>
    <row r="89" spans="1:14" s="727" customFormat="1" ht="47.25">
      <c r="A89" s="591" t="s">
        <v>881</v>
      </c>
      <c r="B89" s="625" t="s">
        <v>880</v>
      </c>
      <c r="C89" s="738">
        <f>'додаток 2'!C71+'додаток 2'!C59</f>
        <v>108052.77</v>
      </c>
      <c r="D89" s="738">
        <f>'додаток 2'!D71+'додаток 2'!D59</f>
        <v>0</v>
      </c>
      <c r="E89" s="738">
        <f>'додаток 2'!E71+'додаток 2'!E59</f>
        <v>0</v>
      </c>
      <c r="F89" s="738">
        <f>'додаток 2'!F71+'додаток 2'!F59</f>
        <v>0</v>
      </c>
      <c r="G89" s="738">
        <f>'додаток 2'!G71+'додаток 2'!G59</f>
        <v>0</v>
      </c>
      <c r="H89" s="738">
        <f>'додаток 2'!H71+'додаток 2'!H59</f>
        <v>0</v>
      </c>
      <c r="I89" s="738">
        <f>'додаток 2'!I71+'додаток 2'!I59</f>
        <v>0</v>
      </c>
      <c r="J89" s="738">
        <f>'додаток 2'!J71+'додаток 2'!J59</f>
        <v>0</v>
      </c>
      <c r="K89" s="738">
        <f>'додаток 2'!K71+'додаток 2'!K59</f>
        <v>0</v>
      </c>
      <c r="L89" s="738">
        <f>'додаток 2'!L71+'додаток 2'!L59</f>
        <v>0</v>
      </c>
      <c r="M89" s="738">
        <f>C89+F89</f>
        <v>108052.77</v>
      </c>
      <c r="N89" s="728"/>
    </row>
    <row r="90" spans="1:14" s="727" customFormat="1" ht="47.25">
      <c r="A90" s="591" t="s">
        <v>465</v>
      </c>
      <c r="B90" s="644" t="s">
        <v>464</v>
      </c>
      <c r="C90" s="738">
        <f>'додаток 2'!C60</f>
        <v>240976.7</v>
      </c>
      <c r="D90" s="738">
        <f>'додаток 2'!D60</f>
        <v>0</v>
      </c>
      <c r="E90" s="738">
        <f>'додаток 2'!E60</f>
        <v>0</v>
      </c>
      <c r="F90" s="738">
        <f>'додаток 2'!F60</f>
        <v>6400</v>
      </c>
      <c r="G90" s="738">
        <f>'додаток 2'!G60</f>
        <v>0</v>
      </c>
      <c r="H90" s="738">
        <f>'додаток 2'!H60</f>
        <v>0</v>
      </c>
      <c r="I90" s="738">
        <f>'додаток 2'!I60</f>
        <v>0</v>
      </c>
      <c r="J90" s="738">
        <f>'додаток 2'!J60</f>
        <v>6400</v>
      </c>
      <c r="K90" s="738">
        <f>'додаток 2'!K60</f>
        <v>6400</v>
      </c>
      <c r="L90" s="738">
        <f>'додаток 2'!L60</f>
        <v>0</v>
      </c>
      <c r="M90" s="738">
        <f>C90+F90</f>
        <v>247376.7</v>
      </c>
      <c r="N90" s="728"/>
    </row>
    <row r="91" spans="1:14" s="727" customFormat="1" ht="63">
      <c r="A91" s="591" t="s">
        <v>462</v>
      </c>
      <c r="B91" s="625" t="s">
        <v>112</v>
      </c>
      <c r="C91" s="738">
        <f>'додаток 2'!C72</f>
        <v>589451.21</v>
      </c>
      <c r="D91" s="738">
        <f>'додаток 2'!D72</f>
        <v>0</v>
      </c>
      <c r="E91" s="738">
        <f>'додаток 2'!E72</f>
        <v>0</v>
      </c>
      <c r="F91" s="738">
        <f>'додаток 2'!F72</f>
        <v>55700</v>
      </c>
      <c r="G91" s="738">
        <f>'додаток 2'!G72</f>
        <v>0</v>
      </c>
      <c r="H91" s="738">
        <f>'додаток 2'!H72</f>
        <v>0</v>
      </c>
      <c r="I91" s="738">
        <f>'додаток 2'!I72</f>
        <v>0</v>
      </c>
      <c r="J91" s="738">
        <f>'додаток 2'!J72</f>
        <v>55700</v>
      </c>
      <c r="K91" s="738">
        <f>'додаток 2'!K72</f>
        <v>55700</v>
      </c>
      <c r="L91" s="738">
        <f>'додаток 2'!L72</f>
        <v>0</v>
      </c>
      <c r="M91" s="738">
        <f>C91+F91</f>
        <v>645151.21</v>
      </c>
      <c r="N91" s="728"/>
    </row>
    <row r="92" spans="1:14" s="727" customFormat="1" ht="31.5">
      <c r="A92" s="591" t="s">
        <v>113</v>
      </c>
      <c r="B92" s="625" t="s">
        <v>114</v>
      </c>
      <c r="C92" s="738">
        <f>'додаток 2'!C73</f>
        <v>36832.31</v>
      </c>
      <c r="D92" s="738">
        <f>'додаток 2'!D73</f>
        <v>0</v>
      </c>
      <c r="E92" s="738">
        <f>'додаток 2'!E73</f>
        <v>0</v>
      </c>
      <c r="F92" s="738">
        <f>'додаток 2'!F73</f>
        <v>0</v>
      </c>
      <c r="G92" s="738">
        <f>'додаток 2'!G73</f>
        <v>0</v>
      </c>
      <c r="H92" s="738">
        <f>'додаток 2'!H73</f>
        <v>0</v>
      </c>
      <c r="I92" s="738">
        <f>'додаток 2'!I73</f>
        <v>0</v>
      </c>
      <c r="J92" s="738">
        <f>'додаток 2'!J73</f>
        <v>0</v>
      </c>
      <c r="K92" s="738">
        <f>'додаток 2'!K73</f>
        <v>0</v>
      </c>
      <c r="L92" s="738">
        <f>'додаток 2'!L73</f>
        <v>0</v>
      </c>
      <c r="M92" s="738">
        <f>C92+F92</f>
        <v>36832.31</v>
      </c>
      <c r="N92" s="728"/>
    </row>
    <row r="93" spans="1:14" s="727" customFormat="1" ht="15.75">
      <c r="A93" s="736">
        <v>150000</v>
      </c>
      <c r="B93" s="735" t="s">
        <v>923</v>
      </c>
      <c r="C93" s="740">
        <f>C94</f>
        <v>0</v>
      </c>
      <c r="D93" s="740">
        <f>D94</f>
        <v>0</v>
      </c>
      <c r="E93" s="740">
        <f>E94</f>
        <v>0</v>
      </c>
      <c r="F93" s="740">
        <f>F94</f>
        <v>12228674.459999999</v>
      </c>
      <c r="G93" s="740">
        <f>G94</f>
        <v>0</v>
      </c>
      <c r="H93" s="740">
        <f>H94</f>
        <v>0</v>
      </c>
      <c r="I93" s="740">
        <f>I94</f>
        <v>0</v>
      </c>
      <c r="J93" s="740">
        <f>J94</f>
        <v>12228674.459999999</v>
      </c>
      <c r="K93" s="740">
        <f>K94</f>
        <v>12228674.459999999</v>
      </c>
      <c r="L93" s="740">
        <f>L94</f>
        <v>0</v>
      </c>
      <c r="M93" s="740">
        <f>F93+C93</f>
        <v>12228674.459999999</v>
      </c>
      <c r="N93" s="728"/>
    </row>
    <row r="94" spans="1:14" ht="15.75">
      <c r="A94" s="591" t="s">
        <v>642</v>
      </c>
      <c r="B94" s="590" t="s">
        <v>489</v>
      </c>
      <c r="C94" s="738">
        <f>'додаток 2'!C134</f>
        <v>0</v>
      </c>
      <c r="D94" s="738">
        <f>'додаток 2'!D134</f>
        <v>0</v>
      </c>
      <c r="E94" s="738">
        <f>'додаток 2'!E134</f>
        <v>0</v>
      </c>
      <c r="F94" s="738">
        <f>'додаток 2'!F134</f>
        <v>12228674.459999999</v>
      </c>
      <c r="G94" s="738">
        <f>'додаток 2'!G134</f>
        <v>0</v>
      </c>
      <c r="H94" s="738">
        <f>'додаток 2'!H134</f>
        <v>0</v>
      </c>
      <c r="I94" s="738">
        <f>'додаток 2'!I134</f>
        <v>0</v>
      </c>
      <c r="J94" s="743">
        <f>'додаток 2'!J134</f>
        <v>12228674.459999999</v>
      </c>
      <c r="K94" s="743">
        <f>'додаток 2'!K134</f>
        <v>12228674.459999999</v>
      </c>
      <c r="L94" s="743">
        <f>'додаток 2'!L134</f>
        <v>0</v>
      </c>
      <c r="M94" s="738">
        <f>F94+C94</f>
        <v>12228674.459999999</v>
      </c>
      <c r="N94" s="728"/>
    </row>
    <row r="95" spans="1:14" ht="93" customHeight="1">
      <c r="A95" s="591"/>
      <c r="B95" s="590" t="s">
        <v>843</v>
      </c>
      <c r="C95" s="738">
        <f>'додаток 2'!C135</f>
        <v>0</v>
      </c>
      <c r="D95" s="738">
        <f>'додаток 2'!D135</f>
        <v>0</v>
      </c>
      <c r="E95" s="738">
        <f>'додаток 2'!E135</f>
        <v>0</v>
      </c>
      <c r="F95" s="738">
        <f>'додаток 2'!F135</f>
        <v>6276522.93</v>
      </c>
      <c r="G95" s="738">
        <f>'додаток 2'!G135</f>
        <v>0</v>
      </c>
      <c r="H95" s="738">
        <f>'додаток 2'!H135</f>
        <v>0</v>
      </c>
      <c r="I95" s="738">
        <f>'додаток 2'!I135</f>
        <v>0</v>
      </c>
      <c r="J95" s="743">
        <f>'додаток 2'!J135</f>
        <v>6276522.93</v>
      </c>
      <c r="K95" s="743">
        <f>'додаток 2'!K135</f>
        <v>6276522.93</v>
      </c>
      <c r="L95" s="743">
        <f>'додаток 2'!L135</f>
        <v>0</v>
      </c>
      <c r="M95" s="738">
        <f>F95+C95</f>
        <v>6276522.93</v>
      </c>
      <c r="N95" s="728"/>
    </row>
    <row r="96" spans="1:14" s="727" customFormat="1" ht="50.25" customHeight="1">
      <c r="A96" s="736">
        <v>170000</v>
      </c>
      <c r="B96" s="735" t="s">
        <v>922</v>
      </c>
      <c r="C96" s="740">
        <f>C97</f>
        <v>0</v>
      </c>
      <c r="D96" s="740">
        <f>D97</f>
        <v>0</v>
      </c>
      <c r="E96" s="740">
        <f>E97</f>
        <v>0</v>
      </c>
      <c r="F96" s="740">
        <f>F97</f>
        <v>44201830.93000001</v>
      </c>
      <c r="G96" s="740">
        <f>G97</f>
        <v>16413947.130000003</v>
      </c>
      <c r="H96" s="740">
        <f>H97</f>
        <v>0</v>
      </c>
      <c r="I96" s="740">
        <f>I97</f>
        <v>0</v>
      </c>
      <c r="J96" s="740">
        <f>J97</f>
        <v>27787883.8</v>
      </c>
      <c r="K96" s="740">
        <f>K97</f>
        <v>0</v>
      </c>
      <c r="L96" s="740">
        <f>L97</f>
        <v>0</v>
      </c>
      <c r="M96" s="740">
        <f>M97</f>
        <v>44201830.93000001</v>
      </c>
      <c r="N96" s="728"/>
    </row>
    <row r="97" spans="1:14" ht="63">
      <c r="A97" s="739">
        <v>170703</v>
      </c>
      <c r="B97" s="745" t="s">
        <v>921</v>
      </c>
      <c r="C97" s="738">
        <f>'додаток 2'!C137</f>
        <v>0</v>
      </c>
      <c r="D97" s="738">
        <f>'додаток 2'!D137</f>
        <v>0</v>
      </c>
      <c r="E97" s="738">
        <f>'додаток 2'!E137</f>
        <v>0</v>
      </c>
      <c r="F97" s="738">
        <f>'додаток 2'!F137</f>
        <v>44201830.93000001</v>
      </c>
      <c r="G97" s="743">
        <f>'додаток 2'!G137</f>
        <v>16413947.130000003</v>
      </c>
      <c r="H97" s="743">
        <f>'додаток 2'!H137</f>
        <v>0</v>
      </c>
      <c r="I97" s="743">
        <f>'додаток 2'!I137</f>
        <v>0</v>
      </c>
      <c r="J97" s="743">
        <f>'додаток 2'!J137</f>
        <v>27787883.8</v>
      </c>
      <c r="K97" s="738">
        <f>'додаток 2'!K137</f>
        <v>0</v>
      </c>
      <c r="L97" s="738">
        <f>'додаток 2'!L137</f>
        <v>0</v>
      </c>
      <c r="M97" s="738">
        <f>F97+C97</f>
        <v>44201830.93000001</v>
      </c>
      <c r="N97" s="728"/>
    </row>
    <row r="98" spans="1:14" ht="96.75" customHeight="1">
      <c r="A98" s="739"/>
      <c r="B98" s="590" t="s">
        <v>839</v>
      </c>
      <c r="C98" s="738">
        <f>'додаток 2'!C138</f>
        <v>0</v>
      </c>
      <c r="D98" s="738">
        <f>'додаток 2'!D138</f>
        <v>0</v>
      </c>
      <c r="E98" s="738">
        <f>'додаток 2'!E138</f>
        <v>0</v>
      </c>
      <c r="F98" s="738">
        <f>'додаток 2'!F138</f>
        <v>20444088.71</v>
      </c>
      <c r="G98" s="743">
        <f>'додаток 2'!G138</f>
        <v>6478299.640000001</v>
      </c>
      <c r="H98" s="743">
        <f>'додаток 2'!H138</f>
        <v>0</v>
      </c>
      <c r="I98" s="743">
        <f>'додаток 2'!I138</f>
        <v>0</v>
      </c>
      <c r="J98" s="743">
        <f>'додаток 2'!J138</f>
        <v>13965789.07</v>
      </c>
      <c r="K98" s="738">
        <f>'додаток 2'!K138</f>
        <v>0</v>
      </c>
      <c r="L98" s="738">
        <f>'додаток 2'!L138</f>
        <v>0</v>
      </c>
      <c r="M98" s="738">
        <f>F98+C98</f>
        <v>20444088.71</v>
      </c>
      <c r="N98" s="728"/>
    </row>
    <row r="99" spans="1:14" ht="36.75" customHeight="1">
      <c r="A99" s="736" t="s">
        <v>836</v>
      </c>
      <c r="B99" s="735" t="s">
        <v>835</v>
      </c>
      <c r="C99" s="740">
        <f>C100+C102+C108</f>
        <v>189774.84</v>
      </c>
      <c r="D99" s="740">
        <f>D100+D102+D108</f>
        <v>0</v>
      </c>
      <c r="E99" s="740">
        <f>E100+E102+E108</f>
        <v>0</v>
      </c>
      <c r="F99" s="740">
        <f>F100+F102+F108</f>
        <v>1831980.44</v>
      </c>
      <c r="G99" s="740">
        <f>G100+G102+G108</f>
        <v>0</v>
      </c>
      <c r="H99" s="740">
        <f>H100+H102+H108</f>
        <v>0</v>
      </c>
      <c r="I99" s="740">
        <f>I100+I102+I108</f>
        <v>0</v>
      </c>
      <c r="J99" s="740">
        <f>J100+J102+J108</f>
        <v>1831980.44</v>
      </c>
      <c r="K99" s="740">
        <f>K100+K102+K108</f>
        <v>1831980.44</v>
      </c>
      <c r="L99" s="740">
        <f>L100+L102+L108</f>
        <v>0</v>
      </c>
      <c r="M99" s="740">
        <f>F99+C99</f>
        <v>2021755.28</v>
      </c>
      <c r="N99" s="728"/>
    </row>
    <row r="100" spans="1:14" ht="36.75" customHeight="1">
      <c r="A100" s="591" t="s">
        <v>36</v>
      </c>
      <c r="B100" s="590" t="s">
        <v>37</v>
      </c>
      <c r="C100" s="738">
        <f>'додаток 2'!C168</f>
        <v>134369.6</v>
      </c>
      <c r="D100" s="738"/>
      <c r="E100" s="738"/>
      <c r="F100" s="738"/>
      <c r="G100" s="738"/>
      <c r="H100" s="738"/>
      <c r="I100" s="738"/>
      <c r="J100" s="738"/>
      <c r="K100" s="738"/>
      <c r="L100" s="738"/>
      <c r="M100" s="738">
        <f>F100+C100</f>
        <v>134369.6</v>
      </c>
      <c r="N100" s="728"/>
    </row>
    <row r="101" spans="1:14" ht="63">
      <c r="A101" s="591" t="s">
        <v>821</v>
      </c>
      <c r="B101" s="590" t="s">
        <v>38</v>
      </c>
      <c r="C101" s="738">
        <f>'додаток 2'!C169</f>
        <v>134369.6</v>
      </c>
      <c r="D101" s="738"/>
      <c r="E101" s="738"/>
      <c r="F101" s="738"/>
      <c r="G101" s="738"/>
      <c r="H101" s="738"/>
      <c r="I101" s="738"/>
      <c r="J101" s="738"/>
      <c r="K101" s="738"/>
      <c r="L101" s="738"/>
      <c r="M101" s="738">
        <f>F101+C101</f>
        <v>134369.6</v>
      </c>
      <c r="N101" s="728"/>
    </row>
    <row r="102" spans="1:14" ht="83.25" customHeight="1">
      <c r="A102" s="596">
        <v>180409</v>
      </c>
      <c r="B102" s="618" t="s">
        <v>17</v>
      </c>
      <c r="C102" s="738">
        <f>C103+C104+C105+C106</f>
        <v>0</v>
      </c>
      <c r="D102" s="738">
        <f>D103+D104+D105+D106</f>
        <v>0</v>
      </c>
      <c r="E102" s="738">
        <f>E103+E104+E105+E106</f>
        <v>0</v>
      </c>
      <c r="F102" s="738">
        <f>F103+F104+F105+F106</f>
        <v>1831980.44</v>
      </c>
      <c r="G102" s="738">
        <f>G103+G104+G105+G106</f>
        <v>0</v>
      </c>
      <c r="H102" s="738">
        <f>H103+H104+H105+H106</f>
        <v>0</v>
      </c>
      <c r="I102" s="738">
        <f>I103+I104+I105+I106</f>
        <v>0</v>
      </c>
      <c r="J102" s="738">
        <f>J103+J104+J105+J106</f>
        <v>1831980.44</v>
      </c>
      <c r="K102" s="738">
        <f>K103+K104+K105+K106</f>
        <v>1831980.44</v>
      </c>
      <c r="L102" s="738">
        <f>L103+L104+L105+L106</f>
        <v>0</v>
      </c>
      <c r="M102" s="738">
        <f>F102+C102</f>
        <v>1831980.44</v>
      </c>
      <c r="N102" s="728"/>
    </row>
    <row r="103" spans="1:14" ht="63">
      <c r="A103" s="596" t="s">
        <v>821</v>
      </c>
      <c r="B103" s="618" t="s">
        <v>486</v>
      </c>
      <c r="C103" s="738">
        <f>'додаток 2'!C15</f>
        <v>0</v>
      </c>
      <c r="D103" s="738">
        <f>'додаток 2'!D15</f>
        <v>0</v>
      </c>
      <c r="E103" s="738">
        <f>'додаток 2'!E15</f>
        <v>0</v>
      </c>
      <c r="F103" s="738">
        <f>'додаток 2'!F15</f>
        <v>458980.44</v>
      </c>
      <c r="G103" s="738">
        <f>'додаток 2'!G15</f>
        <v>0</v>
      </c>
      <c r="H103" s="738">
        <f>'додаток 2'!H15</f>
        <v>0</v>
      </c>
      <c r="I103" s="738">
        <f>'додаток 2'!I15</f>
        <v>0</v>
      </c>
      <c r="J103" s="738">
        <f>'додаток 2'!J15</f>
        <v>458980.44</v>
      </c>
      <c r="K103" s="738">
        <f>'додаток 2'!K15</f>
        <v>458980.44</v>
      </c>
      <c r="L103" s="738">
        <f>'додаток 2'!L15</f>
        <v>0</v>
      </c>
      <c r="M103" s="738">
        <f>F103+C103</f>
        <v>458980.44</v>
      </c>
      <c r="N103" s="728"/>
    </row>
    <row r="104" spans="1:14" ht="33" customHeight="1">
      <c r="A104" s="596"/>
      <c r="B104" s="613" t="s">
        <v>439</v>
      </c>
      <c r="C104" s="738">
        <f>'додаток 2'!C130</f>
        <v>0</v>
      </c>
      <c r="D104" s="738">
        <f>'додаток 2'!D130</f>
        <v>0</v>
      </c>
      <c r="E104" s="738">
        <f>'додаток 2'!E130</f>
        <v>0</v>
      </c>
      <c r="F104" s="738">
        <f>'додаток 2'!F130</f>
        <v>720000</v>
      </c>
      <c r="G104" s="738">
        <f>'додаток 2'!G130</f>
        <v>0</v>
      </c>
      <c r="H104" s="738">
        <f>'додаток 2'!H130</f>
        <v>0</v>
      </c>
      <c r="I104" s="738">
        <f>'додаток 2'!I130</f>
        <v>0</v>
      </c>
      <c r="J104" s="738">
        <f>'додаток 2'!J130</f>
        <v>720000</v>
      </c>
      <c r="K104" s="738">
        <f>'додаток 2'!K130</f>
        <v>720000</v>
      </c>
      <c r="L104" s="738">
        <f>'додаток 2'!L130</f>
        <v>0</v>
      </c>
      <c r="M104" s="738">
        <f>F104+C104</f>
        <v>720000</v>
      </c>
      <c r="N104" s="728"/>
    </row>
    <row r="105" spans="1:14" ht="47.25">
      <c r="A105" s="596"/>
      <c r="B105" s="613" t="s">
        <v>436</v>
      </c>
      <c r="C105" s="738">
        <f>'додаток 2'!C146</f>
        <v>0</v>
      </c>
      <c r="D105" s="738">
        <f>'додаток 2'!D146</f>
        <v>0</v>
      </c>
      <c r="E105" s="738">
        <f>'додаток 2'!E146</f>
        <v>0</v>
      </c>
      <c r="F105" s="738">
        <f>'додаток 2'!F146</f>
        <v>283000</v>
      </c>
      <c r="G105" s="738">
        <f>'додаток 2'!G146</f>
        <v>0</v>
      </c>
      <c r="H105" s="738">
        <f>'додаток 2'!H146</f>
        <v>0</v>
      </c>
      <c r="I105" s="738">
        <f>'додаток 2'!I146</f>
        <v>0</v>
      </c>
      <c r="J105" s="738">
        <f>'додаток 2'!J146</f>
        <v>283000</v>
      </c>
      <c r="K105" s="738">
        <f>'додаток 2'!K146</f>
        <v>283000</v>
      </c>
      <c r="L105" s="738">
        <f>'додаток 2'!L146</f>
        <v>0</v>
      </c>
      <c r="M105" s="738">
        <f>F105+C105</f>
        <v>283000</v>
      </c>
      <c r="N105" s="728"/>
    </row>
    <row r="106" spans="1:14" ht="47.25">
      <c r="A106" s="596"/>
      <c r="B106" s="613" t="s">
        <v>435</v>
      </c>
      <c r="C106" s="738">
        <f>'додаток 2'!C148</f>
        <v>0</v>
      </c>
      <c r="D106" s="738">
        <f>'додаток 2'!D148</f>
        <v>0</v>
      </c>
      <c r="E106" s="738">
        <f>'додаток 2'!E148</f>
        <v>0</v>
      </c>
      <c r="F106" s="738">
        <f>'додаток 2'!F148</f>
        <v>370000</v>
      </c>
      <c r="G106" s="738">
        <f>'додаток 2'!G148</f>
        <v>0</v>
      </c>
      <c r="H106" s="738">
        <f>'додаток 2'!H148</f>
        <v>0</v>
      </c>
      <c r="I106" s="738">
        <f>'додаток 2'!I148</f>
        <v>0</v>
      </c>
      <c r="J106" s="738">
        <f>'додаток 2'!J148</f>
        <v>370000</v>
      </c>
      <c r="K106" s="738">
        <f>'додаток 2'!K148</f>
        <v>370000</v>
      </c>
      <c r="L106" s="738">
        <f>'додаток 2'!L148</f>
        <v>0</v>
      </c>
      <c r="M106" s="738">
        <f>F106+C106</f>
        <v>370000</v>
      </c>
      <c r="N106" s="728"/>
    </row>
    <row r="107" spans="1:14" ht="47.25">
      <c r="A107" s="596" t="s">
        <v>821</v>
      </c>
      <c r="B107" s="618" t="s">
        <v>18</v>
      </c>
      <c r="C107" s="738">
        <f>C102</f>
        <v>0</v>
      </c>
      <c r="D107" s="738">
        <f>D102</f>
        <v>0</v>
      </c>
      <c r="E107" s="738">
        <f>E102</f>
        <v>0</v>
      </c>
      <c r="F107" s="738">
        <f>F102</f>
        <v>1831980.44</v>
      </c>
      <c r="G107" s="738">
        <f>G102</f>
        <v>0</v>
      </c>
      <c r="H107" s="738">
        <f>H102</f>
        <v>0</v>
      </c>
      <c r="I107" s="738">
        <f>I102</f>
        <v>0</v>
      </c>
      <c r="J107" s="738">
        <f>J102</f>
        <v>1831980.44</v>
      </c>
      <c r="K107" s="738">
        <f>K102</f>
        <v>1831980.44</v>
      </c>
      <c r="L107" s="738">
        <f>L102</f>
        <v>0</v>
      </c>
      <c r="M107" s="738">
        <f>F107+C107</f>
        <v>1831980.44</v>
      </c>
      <c r="N107" s="728"/>
    </row>
    <row r="108" spans="1:14" ht="31.5">
      <c r="A108" s="591" t="s">
        <v>780</v>
      </c>
      <c r="B108" s="614" t="s">
        <v>896</v>
      </c>
      <c r="C108" s="738">
        <f>C109+C110</f>
        <v>55405.24</v>
      </c>
      <c r="D108" s="738">
        <f>'додаток 2'!D29</f>
        <v>0</v>
      </c>
      <c r="E108" s="738">
        <f>'додаток 2'!E29</f>
        <v>0</v>
      </c>
      <c r="F108" s="738">
        <f>'додаток 2'!F29</f>
        <v>0</v>
      </c>
      <c r="G108" s="738">
        <f>'додаток 2'!G29</f>
        <v>0</v>
      </c>
      <c r="H108" s="738">
        <f>'додаток 2'!H29</f>
        <v>0</v>
      </c>
      <c r="I108" s="738">
        <f>'додаток 2'!I29</f>
        <v>0</v>
      </c>
      <c r="J108" s="738">
        <f>'додаток 2'!J29</f>
        <v>0</v>
      </c>
      <c r="K108" s="738">
        <f>'додаток 2'!K29</f>
        <v>0</v>
      </c>
      <c r="L108" s="738">
        <f>'додаток 2'!L29</f>
        <v>0</v>
      </c>
      <c r="M108" s="738">
        <f>F108+C108</f>
        <v>55405.24</v>
      </c>
      <c r="N108" s="728"/>
    </row>
    <row r="109" spans="1:14" ht="63">
      <c r="A109" s="591" t="s">
        <v>821</v>
      </c>
      <c r="B109" s="614" t="s">
        <v>43</v>
      </c>
      <c r="C109" s="738">
        <f>'додаток 2'!C30</f>
        <v>9345.24</v>
      </c>
      <c r="D109" s="738">
        <f>'додаток 2'!D30</f>
        <v>0</v>
      </c>
      <c r="E109" s="738">
        <f>'додаток 2'!E30</f>
        <v>0</v>
      </c>
      <c r="F109" s="738">
        <f>'додаток 2'!F30</f>
        <v>0</v>
      </c>
      <c r="G109" s="738">
        <f>'додаток 2'!G30</f>
        <v>0</v>
      </c>
      <c r="H109" s="738">
        <f>'додаток 2'!H30</f>
        <v>0</v>
      </c>
      <c r="I109" s="738">
        <f>'додаток 2'!I30</f>
        <v>0</v>
      </c>
      <c r="J109" s="738">
        <f>'додаток 2'!J30</f>
        <v>0</v>
      </c>
      <c r="K109" s="738">
        <f>'додаток 2'!K30</f>
        <v>0</v>
      </c>
      <c r="L109" s="738">
        <f>'додаток 2'!L30</f>
        <v>0</v>
      </c>
      <c r="M109" s="738">
        <f>F109+C109</f>
        <v>9345.24</v>
      </c>
      <c r="N109" s="728"/>
    </row>
    <row r="110" spans="1:14" ht="48" customHeight="1">
      <c r="A110" s="591"/>
      <c r="B110" s="590" t="s">
        <v>41</v>
      </c>
      <c r="C110" s="738">
        <f>'додаток 2'!C171</f>
        <v>46060</v>
      </c>
      <c r="D110" s="738"/>
      <c r="E110" s="738"/>
      <c r="F110" s="738"/>
      <c r="G110" s="738"/>
      <c r="H110" s="738"/>
      <c r="I110" s="738"/>
      <c r="J110" s="738"/>
      <c r="K110" s="738"/>
      <c r="L110" s="738"/>
      <c r="M110" s="738">
        <f>F110+C110</f>
        <v>46060</v>
      </c>
      <c r="N110" s="728"/>
    </row>
    <row r="111" spans="1:14" s="733" customFormat="1" ht="47.25">
      <c r="A111" s="736" t="s">
        <v>920</v>
      </c>
      <c r="B111" s="735" t="s">
        <v>919</v>
      </c>
      <c r="C111" s="740">
        <f>C112</f>
        <v>0</v>
      </c>
      <c r="D111" s="740">
        <f>D112</f>
        <v>0</v>
      </c>
      <c r="E111" s="740">
        <f>E112</f>
        <v>0</v>
      </c>
      <c r="F111" s="740">
        <f>F112</f>
        <v>379120.62</v>
      </c>
      <c r="G111" s="740">
        <f>G112</f>
        <v>379120.62</v>
      </c>
      <c r="H111" s="740">
        <f>H112</f>
        <v>0</v>
      </c>
      <c r="I111" s="740">
        <f>I112</f>
        <v>0</v>
      </c>
      <c r="J111" s="740">
        <f>J112</f>
        <v>0</v>
      </c>
      <c r="K111" s="740">
        <f>K112</f>
        <v>0</v>
      </c>
      <c r="L111" s="740">
        <f>L112</f>
        <v>0</v>
      </c>
      <c r="M111" s="740">
        <f>SUM(F111,C111)</f>
        <v>379120.62</v>
      </c>
      <c r="N111" s="728"/>
    </row>
    <row r="112" spans="1:14" s="609" customFormat="1" ht="31.5">
      <c r="A112" s="591" t="s">
        <v>629</v>
      </c>
      <c r="B112" s="613" t="s">
        <v>628</v>
      </c>
      <c r="C112" s="617"/>
      <c r="D112" s="744"/>
      <c r="E112" s="744"/>
      <c r="F112" s="587">
        <f>G112+J112</f>
        <v>379120.62</v>
      </c>
      <c r="G112" s="612">
        <v>379120.62</v>
      </c>
      <c r="H112" s="744"/>
      <c r="I112" s="744"/>
      <c r="J112" s="744"/>
      <c r="K112" s="744"/>
      <c r="L112" s="744"/>
      <c r="M112" s="587">
        <f>SUM(F112,C112)</f>
        <v>379120.62</v>
      </c>
      <c r="N112" s="672"/>
    </row>
    <row r="113" spans="1:14" s="733" customFormat="1" ht="47.25">
      <c r="A113" s="736">
        <v>210000</v>
      </c>
      <c r="B113" s="735" t="s">
        <v>918</v>
      </c>
      <c r="C113" s="740">
        <f>C114+C116</f>
        <v>13826.55</v>
      </c>
      <c r="D113" s="740">
        <f>D114+D116</f>
        <v>0</v>
      </c>
      <c r="E113" s="740">
        <f>E114+E116</f>
        <v>0</v>
      </c>
      <c r="F113" s="740">
        <f>F114+F116</f>
        <v>40000</v>
      </c>
      <c r="G113" s="740">
        <f>G114+G116</f>
        <v>0</v>
      </c>
      <c r="H113" s="740">
        <f>H114+H116</f>
        <v>0</v>
      </c>
      <c r="I113" s="740">
        <f>I114+I116</f>
        <v>0</v>
      </c>
      <c r="J113" s="740">
        <f>J114+J116</f>
        <v>40000</v>
      </c>
      <c r="K113" s="740">
        <f>K114+K116</f>
        <v>40000</v>
      </c>
      <c r="L113" s="740">
        <f>L114+L116</f>
        <v>0</v>
      </c>
      <c r="M113" s="740">
        <f>F113+C113</f>
        <v>53826.55</v>
      </c>
      <c r="N113" s="728"/>
    </row>
    <row r="114" spans="1:14" ht="51" customHeight="1">
      <c r="A114" s="591" t="s">
        <v>54</v>
      </c>
      <c r="B114" s="614" t="s">
        <v>434</v>
      </c>
      <c r="C114" s="738">
        <f>C115</f>
        <v>0</v>
      </c>
      <c r="D114" s="738">
        <f>D115</f>
        <v>0</v>
      </c>
      <c r="E114" s="738">
        <f>E115</f>
        <v>0</v>
      </c>
      <c r="F114" s="738">
        <f>F115</f>
        <v>40000</v>
      </c>
      <c r="G114" s="738">
        <f>G115</f>
        <v>0</v>
      </c>
      <c r="H114" s="738">
        <f>H115</f>
        <v>0</v>
      </c>
      <c r="I114" s="738">
        <f>I115</f>
        <v>0</v>
      </c>
      <c r="J114" s="738">
        <f>J115</f>
        <v>40000</v>
      </c>
      <c r="K114" s="738">
        <f>K115</f>
        <v>40000</v>
      </c>
      <c r="L114" s="738">
        <f>L115</f>
        <v>0</v>
      </c>
      <c r="M114" s="738">
        <f>F114+C114</f>
        <v>40000</v>
      </c>
      <c r="N114" s="728"/>
    </row>
    <row r="115" spans="1:14" ht="110.25">
      <c r="A115" s="591" t="s">
        <v>821</v>
      </c>
      <c r="B115" s="613" t="s">
        <v>826</v>
      </c>
      <c r="C115" s="738">
        <f>'додаток 2'!C163</f>
        <v>0</v>
      </c>
      <c r="D115" s="738">
        <f>'додаток 2'!D163</f>
        <v>0</v>
      </c>
      <c r="E115" s="738">
        <f>'додаток 2'!E163</f>
        <v>0</v>
      </c>
      <c r="F115" s="738">
        <f>'додаток 2'!F163</f>
        <v>40000</v>
      </c>
      <c r="G115" s="738">
        <f>'додаток 2'!G163</f>
        <v>0</v>
      </c>
      <c r="H115" s="738">
        <f>'додаток 2'!H163</f>
        <v>0</v>
      </c>
      <c r="I115" s="738">
        <f>'додаток 2'!I163</f>
        <v>0</v>
      </c>
      <c r="J115" s="743">
        <f>'додаток 2'!J163</f>
        <v>40000</v>
      </c>
      <c r="K115" s="743">
        <f>'додаток 2'!K163</f>
        <v>40000</v>
      </c>
      <c r="L115" s="738">
        <f>'додаток 2'!L163</f>
        <v>0</v>
      </c>
      <c r="M115" s="738">
        <f>F115+C115</f>
        <v>40000</v>
      </c>
      <c r="N115" s="728"/>
    </row>
    <row r="116" spans="1:14" ht="31.5">
      <c r="A116" s="591" t="s">
        <v>79</v>
      </c>
      <c r="B116" s="613" t="s">
        <v>80</v>
      </c>
      <c r="C116" s="738">
        <f>'додаток 2'!C164</f>
        <v>13826.55</v>
      </c>
      <c r="D116" s="738">
        <f>'додаток 2'!D164</f>
        <v>0</v>
      </c>
      <c r="E116" s="738">
        <f>'додаток 2'!E164</f>
        <v>0</v>
      </c>
      <c r="F116" s="738">
        <f>'додаток 2'!F164</f>
        <v>0</v>
      </c>
      <c r="G116" s="738">
        <f>'додаток 2'!G164</f>
        <v>0</v>
      </c>
      <c r="H116" s="738">
        <f>'додаток 2'!H164</f>
        <v>0</v>
      </c>
      <c r="I116" s="738">
        <f>'додаток 2'!I164</f>
        <v>0</v>
      </c>
      <c r="J116" s="738">
        <f>'додаток 2'!J164</f>
        <v>0</v>
      </c>
      <c r="K116" s="738">
        <f>'додаток 2'!K164</f>
        <v>0</v>
      </c>
      <c r="L116" s="738">
        <f>'додаток 2'!L164</f>
        <v>0</v>
      </c>
      <c r="M116" s="738">
        <f>F116+C116</f>
        <v>13826.55</v>
      </c>
      <c r="N116" s="728"/>
    </row>
    <row r="117" spans="1:14" ht="63">
      <c r="A117" s="591" t="s">
        <v>821</v>
      </c>
      <c r="B117" s="613" t="s">
        <v>81</v>
      </c>
      <c r="C117" s="738">
        <f>'додаток 2'!C165</f>
        <v>13826.55</v>
      </c>
      <c r="D117" s="738"/>
      <c r="E117" s="738"/>
      <c r="F117" s="738"/>
      <c r="G117" s="738"/>
      <c r="H117" s="738"/>
      <c r="I117" s="738"/>
      <c r="J117" s="743"/>
      <c r="K117" s="743"/>
      <c r="L117" s="738"/>
      <c r="M117" s="738">
        <f>F117+C117</f>
        <v>13826.55</v>
      </c>
      <c r="N117" s="728"/>
    </row>
    <row r="118" spans="1:14" s="733" customFormat="1" ht="15.75">
      <c r="A118" s="736">
        <v>240000</v>
      </c>
      <c r="B118" s="735" t="s">
        <v>917</v>
      </c>
      <c r="C118" s="740">
        <f>SUM(C119:C122)</f>
        <v>0</v>
      </c>
      <c r="D118" s="740">
        <f>SUM(D119:D122)</f>
        <v>0</v>
      </c>
      <c r="E118" s="740">
        <f>SUM(E119:E122)</f>
        <v>0</v>
      </c>
      <c r="F118" s="740">
        <f>SUM(F119:F122)</f>
        <v>5083711.899999999</v>
      </c>
      <c r="G118" s="740">
        <f>SUM(G119:G122)</f>
        <v>281290.45999999996</v>
      </c>
      <c r="H118" s="740">
        <f>SUM(H119:H122)</f>
        <v>0</v>
      </c>
      <c r="I118" s="740">
        <f>SUM(I119:I122)</f>
        <v>0</v>
      </c>
      <c r="J118" s="740">
        <f>SUM(J119:J122)</f>
        <v>4802421.4399999995</v>
      </c>
      <c r="K118" s="740">
        <f>SUM(K119:K122)</f>
        <v>0</v>
      </c>
      <c r="L118" s="740">
        <f>SUM(L119:L122)</f>
        <v>0</v>
      </c>
      <c r="M118" s="740">
        <f>F118+C118</f>
        <v>5083711.899999999</v>
      </c>
      <c r="N118" s="728"/>
    </row>
    <row r="119" spans="1:14" ht="36" customHeight="1">
      <c r="A119" s="742">
        <v>240601</v>
      </c>
      <c r="B119" s="741" t="s">
        <v>626</v>
      </c>
      <c r="C119" s="738">
        <f>'додаток 2'!C140</f>
        <v>0</v>
      </c>
      <c r="D119" s="738">
        <f>'додаток 2'!D140</f>
        <v>0</v>
      </c>
      <c r="E119" s="738">
        <f>'додаток 2'!E140</f>
        <v>0</v>
      </c>
      <c r="F119" s="738">
        <f>'додаток 2'!F140+'додаток 2'!F155</f>
        <v>2306809.08</v>
      </c>
      <c r="G119" s="738">
        <f>'додаток 2'!G140</f>
        <v>0</v>
      </c>
      <c r="H119" s="738">
        <f>'додаток 2'!H140</f>
        <v>0</v>
      </c>
      <c r="I119" s="738">
        <f>'додаток 2'!I140</f>
        <v>0</v>
      </c>
      <c r="J119" s="738">
        <f>'додаток 2'!J140+'додаток 2'!J155</f>
        <v>2306809.08</v>
      </c>
      <c r="K119" s="738">
        <f>'додаток 2'!K140</f>
        <v>0</v>
      </c>
      <c r="L119" s="738">
        <f>'додаток 2'!L140</f>
        <v>0</v>
      </c>
      <c r="M119" s="738">
        <f>F119+C119</f>
        <v>2306809.08</v>
      </c>
      <c r="N119" s="728"/>
    </row>
    <row r="120" spans="1:14" ht="15.75">
      <c r="A120" s="739">
        <v>240602</v>
      </c>
      <c r="B120" s="741" t="s">
        <v>916</v>
      </c>
      <c r="C120" s="738">
        <f>'додаток 2'!C141</f>
        <v>0</v>
      </c>
      <c r="D120" s="738">
        <f>'додаток 2'!D141</f>
        <v>0</v>
      </c>
      <c r="E120" s="738">
        <f>'додаток 2'!E141</f>
        <v>0</v>
      </c>
      <c r="F120" s="738">
        <f>'додаток 2'!F141+'додаток 2'!F156</f>
        <v>1185000</v>
      </c>
      <c r="G120" s="738">
        <f>'додаток 2'!G141</f>
        <v>0</v>
      </c>
      <c r="H120" s="738">
        <f>'додаток 2'!H141</f>
        <v>0</v>
      </c>
      <c r="I120" s="738">
        <f>'додаток 2'!I141</f>
        <v>0</v>
      </c>
      <c r="J120" s="738">
        <f>'додаток 2'!J141+'додаток 2'!J156</f>
        <v>1185000</v>
      </c>
      <c r="K120" s="738">
        <f>'додаток 2'!K141</f>
        <v>0</v>
      </c>
      <c r="L120" s="738">
        <f>'додаток 2'!L141</f>
        <v>0</v>
      </c>
      <c r="M120" s="738">
        <f>F120+C120</f>
        <v>1185000</v>
      </c>
      <c r="N120" s="728"/>
    </row>
    <row r="121" spans="1:14" ht="47.25">
      <c r="A121" s="591" t="s">
        <v>637</v>
      </c>
      <c r="B121" s="590" t="s">
        <v>636</v>
      </c>
      <c r="C121" s="738">
        <f>'додаток 2'!C142</f>
        <v>0</v>
      </c>
      <c r="D121" s="738">
        <f>'додаток 2'!D142</f>
        <v>0</v>
      </c>
      <c r="E121" s="738">
        <f>'додаток 2'!E142</f>
        <v>0</v>
      </c>
      <c r="F121" s="738">
        <f>'додаток 2'!F142</f>
        <v>1310612.3599999999</v>
      </c>
      <c r="G121" s="738">
        <f>'додаток 2'!G142</f>
        <v>0</v>
      </c>
      <c r="H121" s="738">
        <f>'додаток 2'!H142</f>
        <v>0</v>
      </c>
      <c r="I121" s="738">
        <f>'додаток 2'!I142</f>
        <v>0</v>
      </c>
      <c r="J121" s="738">
        <f>'додаток 2'!J142</f>
        <v>1310612.3599999999</v>
      </c>
      <c r="K121" s="738">
        <f>'додаток 2'!K142</f>
        <v>0</v>
      </c>
      <c r="L121" s="738">
        <f>'додаток 2'!L142</f>
        <v>0</v>
      </c>
      <c r="M121" s="738">
        <f>F121+C121</f>
        <v>1310612.3599999999</v>
      </c>
      <c r="N121" s="728"/>
    </row>
    <row r="122" spans="1:14" ht="45">
      <c r="A122" s="739">
        <v>240604</v>
      </c>
      <c r="B122" s="741" t="s">
        <v>915</v>
      </c>
      <c r="C122" s="738">
        <f>'додаток 2'!C157</f>
        <v>0</v>
      </c>
      <c r="D122" s="738">
        <f>'додаток 2'!D157</f>
        <v>0</v>
      </c>
      <c r="E122" s="738">
        <f>'додаток 2'!E157</f>
        <v>0</v>
      </c>
      <c r="F122" s="738">
        <f>'додаток 2'!F157</f>
        <v>281290.45999999996</v>
      </c>
      <c r="G122" s="738">
        <f>'додаток 2'!G157</f>
        <v>281290.45999999996</v>
      </c>
      <c r="H122" s="738">
        <f>'додаток 2'!H157</f>
        <v>0</v>
      </c>
      <c r="I122" s="738">
        <f>'додаток 2'!I157</f>
        <v>0</v>
      </c>
      <c r="J122" s="738">
        <f>'додаток 2'!J157</f>
        <v>0</v>
      </c>
      <c r="K122" s="738">
        <f>'додаток 2'!K157</f>
        <v>0</v>
      </c>
      <c r="L122" s="738">
        <f>'додаток 2'!L157</f>
        <v>0</v>
      </c>
      <c r="M122" s="738">
        <f>F122+C122</f>
        <v>281290.45999999996</v>
      </c>
      <c r="N122" s="728"/>
    </row>
    <row r="123" spans="1:14" s="733" customFormat="1" ht="31.5">
      <c r="A123" s="736" t="s">
        <v>849</v>
      </c>
      <c r="B123" s="735" t="s">
        <v>848</v>
      </c>
      <c r="C123" s="740">
        <f>C125+C124</f>
        <v>192165.19</v>
      </c>
      <c r="D123" s="740">
        <f>D125+D124</f>
        <v>0</v>
      </c>
      <c r="E123" s="740">
        <f>E125+E124</f>
        <v>0</v>
      </c>
      <c r="F123" s="740">
        <f>F125+F124</f>
        <v>91917.54</v>
      </c>
      <c r="G123" s="740">
        <f>G125+G124</f>
        <v>0</v>
      </c>
      <c r="H123" s="740">
        <f>H125+H124</f>
        <v>0</v>
      </c>
      <c r="I123" s="740">
        <f>I125+I124</f>
        <v>0</v>
      </c>
      <c r="J123" s="740">
        <f>J125+J124</f>
        <v>91917.54</v>
      </c>
      <c r="K123" s="740">
        <f>K125+K124</f>
        <v>0</v>
      </c>
      <c r="L123" s="740">
        <f>L125+L124</f>
        <v>0</v>
      </c>
      <c r="M123" s="740">
        <f>F123+C123</f>
        <v>284082.73</v>
      </c>
      <c r="N123" s="728"/>
    </row>
    <row r="124" spans="1:14" s="733" customFormat="1" ht="204.75">
      <c r="A124" s="619" t="s">
        <v>618</v>
      </c>
      <c r="B124" s="618" t="s">
        <v>617</v>
      </c>
      <c r="C124" s="738">
        <f>'додаток 2'!C159</f>
        <v>0</v>
      </c>
      <c r="D124" s="738">
        <f>'додаток 2'!D159</f>
        <v>0</v>
      </c>
      <c r="E124" s="738">
        <f>'додаток 2'!E159</f>
        <v>0</v>
      </c>
      <c r="F124" s="738">
        <f>'додаток 2'!F159</f>
        <v>91917.54</v>
      </c>
      <c r="G124" s="738">
        <f>'додаток 2'!G159</f>
        <v>0</v>
      </c>
      <c r="H124" s="738">
        <f>'додаток 2'!H159</f>
        <v>0</v>
      </c>
      <c r="I124" s="738">
        <f>'додаток 2'!I159</f>
        <v>0</v>
      </c>
      <c r="J124" s="738">
        <f>'додаток 2'!J159</f>
        <v>91917.54</v>
      </c>
      <c r="K124" s="738">
        <f>'додаток 2'!K159</f>
        <v>0</v>
      </c>
      <c r="L124" s="738">
        <f>'додаток 2'!L159</f>
        <v>0</v>
      </c>
      <c r="M124" s="738">
        <f>C124+F124</f>
        <v>91917.54</v>
      </c>
      <c r="N124" s="728"/>
    </row>
    <row r="125" spans="1:14" ht="15.75">
      <c r="A125" s="700" t="s">
        <v>60</v>
      </c>
      <c r="B125" s="699" t="s">
        <v>847</v>
      </c>
      <c r="C125" s="738">
        <f>C126+C127+C128</f>
        <v>192165.19</v>
      </c>
      <c r="D125" s="738">
        <f>D126+D127+D128</f>
        <v>0</v>
      </c>
      <c r="E125" s="738">
        <f>E126+E127+E128</f>
        <v>0</v>
      </c>
      <c r="F125" s="738">
        <f>F126+F127+F128</f>
        <v>0</v>
      </c>
      <c r="G125" s="738">
        <f>G126+G127+G128</f>
        <v>0</v>
      </c>
      <c r="H125" s="738">
        <f>H126+H127+H128</f>
        <v>0</v>
      </c>
      <c r="I125" s="738">
        <f>I126+I127+I128</f>
        <v>0</v>
      </c>
      <c r="J125" s="738">
        <f>J126+J127+J128</f>
        <v>0</v>
      </c>
      <c r="K125" s="738">
        <f>K126+K127+K128</f>
        <v>0</v>
      </c>
      <c r="L125" s="738">
        <f>L126+L127+L128</f>
        <v>0</v>
      </c>
      <c r="M125" s="738">
        <f>F125+C125</f>
        <v>192165.19</v>
      </c>
      <c r="N125" s="728"/>
    </row>
    <row r="126" spans="1:14" ht="47.25">
      <c r="A126" s="700"/>
      <c r="B126" s="624" t="s">
        <v>914</v>
      </c>
      <c r="C126" s="738">
        <f>'додаток 2'!C26</f>
        <v>96740.59</v>
      </c>
      <c r="D126" s="738">
        <f>'додаток 2'!D26</f>
        <v>0</v>
      </c>
      <c r="E126" s="738">
        <f>'додаток 2'!E26</f>
        <v>0</v>
      </c>
      <c r="F126" s="738">
        <f>'додаток 2'!F26</f>
        <v>0</v>
      </c>
      <c r="G126" s="738">
        <f>'додаток 2'!G26</f>
        <v>0</v>
      </c>
      <c r="H126" s="738">
        <f>'додаток 2'!H26</f>
        <v>0</v>
      </c>
      <c r="I126" s="738">
        <f>'додаток 2'!I26</f>
        <v>0</v>
      </c>
      <c r="J126" s="738">
        <f>'додаток 2'!J26</f>
        <v>0</v>
      </c>
      <c r="K126" s="738">
        <f>'додаток 2'!K26</f>
        <v>0</v>
      </c>
      <c r="L126" s="738">
        <f>'додаток 2'!L26</f>
        <v>0</v>
      </c>
      <c r="M126" s="738">
        <f>F126+C126</f>
        <v>96740.59</v>
      </c>
      <c r="N126" s="728"/>
    </row>
    <row r="127" spans="1:14" ht="47.25">
      <c r="A127" s="739"/>
      <c r="B127" s="590" t="s">
        <v>77</v>
      </c>
      <c r="C127" s="738">
        <f>'додаток 2'!C126</f>
        <v>80424.6</v>
      </c>
      <c r="D127" s="738">
        <f>'додаток 2'!D126</f>
        <v>0</v>
      </c>
      <c r="E127" s="738">
        <f>'додаток 2'!E126</f>
        <v>0</v>
      </c>
      <c r="F127" s="738">
        <f>'додаток 2'!F126</f>
        <v>0</v>
      </c>
      <c r="G127" s="738">
        <f>'додаток 2'!G126</f>
        <v>0</v>
      </c>
      <c r="H127" s="738">
        <f>'додаток 2'!H126</f>
        <v>0</v>
      </c>
      <c r="I127" s="738">
        <f>'додаток 2'!I126</f>
        <v>0</v>
      </c>
      <c r="J127" s="738">
        <f>'додаток 2'!J126</f>
        <v>0</v>
      </c>
      <c r="K127" s="738">
        <f>'додаток 2'!K126</f>
        <v>0</v>
      </c>
      <c r="L127" s="738">
        <f>'додаток 2'!L126</f>
        <v>0</v>
      </c>
      <c r="M127" s="738">
        <f>F127+C127</f>
        <v>80424.6</v>
      </c>
      <c r="N127" s="728"/>
    </row>
    <row r="128" spans="1:14" ht="97.5" customHeight="1">
      <c r="A128" s="739"/>
      <c r="B128" s="614" t="s">
        <v>35</v>
      </c>
      <c r="C128" s="738">
        <f>'додаток 2'!C174</f>
        <v>15000</v>
      </c>
      <c r="D128" s="738">
        <f>'додаток 2'!D174</f>
        <v>0</v>
      </c>
      <c r="E128" s="738">
        <f>'додаток 2'!E174</f>
        <v>0</v>
      </c>
      <c r="F128" s="738">
        <f>'додаток 2'!F174</f>
        <v>0</v>
      </c>
      <c r="G128" s="738">
        <f>'додаток 2'!G174</f>
        <v>0</v>
      </c>
      <c r="H128" s="738">
        <f>'додаток 2'!H174</f>
        <v>0</v>
      </c>
      <c r="I128" s="738">
        <f>'додаток 2'!I174</f>
        <v>0</v>
      </c>
      <c r="J128" s="738">
        <f>'додаток 2'!J174</f>
        <v>0</v>
      </c>
      <c r="K128" s="738">
        <f>'додаток 2'!K174</f>
        <v>0</v>
      </c>
      <c r="L128" s="738">
        <f>'додаток 2'!L174</f>
        <v>0</v>
      </c>
      <c r="M128" s="738">
        <f>F128+C128</f>
        <v>15000</v>
      </c>
      <c r="N128" s="728"/>
    </row>
    <row r="129" spans="1:14" s="737" customFormat="1" ht="18.75">
      <c r="A129" s="736"/>
      <c r="B129" s="735" t="s">
        <v>608</v>
      </c>
      <c r="C129" s="729">
        <f>C13+C40+C58+C76+C82+C85+C93+C96+C99+C113+C118+C123+C111</f>
        <v>12268611.83</v>
      </c>
      <c r="D129" s="729">
        <f>D13+D40+D58+D76+D82+D85+D93+D96+D99+D113+D118+D123+D111</f>
        <v>0</v>
      </c>
      <c r="E129" s="729">
        <f>E13+E40+E58+E76+E82+E85+E93+E96+E99+E113+E118+E123+E111</f>
        <v>0</v>
      </c>
      <c r="F129" s="729">
        <f>F13+F40+F58+F76+F82+F85+F93+F96+F99+F113+F118+F123+F111</f>
        <v>69429417.90000002</v>
      </c>
      <c r="G129" s="729">
        <f>G13+G40+G58+G76+G82+G85+G93+G96+G99+G113+G118+G123+G111</f>
        <v>17114258.210000005</v>
      </c>
      <c r="H129" s="729">
        <f>H13+H40+H58+H76+H82+H85+H93+H96+H99+H113+H118+H123+H111</f>
        <v>0</v>
      </c>
      <c r="I129" s="729">
        <f>I13+I40+I58+I76+I82+I85+I93+I96+I99+I113+I118+I123+I111</f>
        <v>0</v>
      </c>
      <c r="J129" s="729">
        <f>J13+J40+J58+J76+J82+J85+J93+J96+J99+J113+J118+J123+J111</f>
        <v>52315159.68999999</v>
      </c>
      <c r="K129" s="729">
        <f>K13+K40+K58+K76+K82+K85+K93+K96+K99+K113+K118+K123+K111</f>
        <v>19632936.91</v>
      </c>
      <c r="L129" s="729">
        <f>L13+L40+L58+L76+L82+L85+L93+L96+L99+L113+L118+L123+L111</f>
        <v>0</v>
      </c>
      <c r="M129" s="729">
        <f>M13+M40+M58+M76+M82+M85+M93+M96+M99+M113+M118+M123+M111</f>
        <v>81698029.73000002</v>
      </c>
      <c r="N129" s="728"/>
    </row>
    <row r="130" spans="1:14" s="733" customFormat="1" ht="18.75">
      <c r="A130" s="736"/>
      <c r="B130" s="735" t="s">
        <v>587</v>
      </c>
      <c r="C130" s="734">
        <f>C131</f>
        <v>223077.07</v>
      </c>
      <c r="D130" s="734">
        <f>D131</f>
        <v>0</v>
      </c>
      <c r="E130" s="734">
        <f>E131</f>
        <v>0</v>
      </c>
      <c r="F130" s="734">
        <f>F131</f>
        <v>1061572.8</v>
      </c>
      <c r="G130" s="734">
        <f>G131</f>
        <v>300000</v>
      </c>
      <c r="H130" s="734">
        <f>H131</f>
        <v>0</v>
      </c>
      <c r="I130" s="734">
        <f>I131</f>
        <v>0</v>
      </c>
      <c r="J130" s="734">
        <f>J131</f>
        <v>761572.8</v>
      </c>
      <c r="K130" s="734">
        <f>K131</f>
        <v>761572.8</v>
      </c>
      <c r="L130" s="734">
        <f>L131</f>
        <v>0</v>
      </c>
      <c r="M130" s="734">
        <f>M131</f>
        <v>1284649.87</v>
      </c>
      <c r="N130" s="728"/>
    </row>
    <row r="131" spans="1:14" s="733" customFormat="1" ht="18.75">
      <c r="A131" s="591" t="s">
        <v>21</v>
      </c>
      <c r="B131" s="590" t="s">
        <v>29</v>
      </c>
      <c r="C131" s="732">
        <f>C132+C133+C134+C135+C136+C137</f>
        <v>223077.07</v>
      </c>
      <c r="D131" s="732">
        <f>D132+D133+D134+D135+D136+D137</f>
        <v>0</v>
      </c>
      <c r="E131" s="732">
        <f>E132+E133+E134+E135+E136+E137</f>
        <v>0</v>
      </c>
      <c r="F131" s="732">
        <f>F132+F133+F134+F135+F136+F137</f>
        <v>1061572.8</v>
      </c>
      <c r="G131" s="732">
        <f>G132+G133+G134+G135+G136+G137</f>
        <v>300000</v>
      </c>
      <c r="H131" s="732">
        <f>H132+H133+H134+H135+H136+H137</f>
        <v>0</v>
      </c>
      <c r="I131" s="732">
        <f>I132+I133+I134+I135+I136+I137</f>
        <v>0</v>
      </c>
      <c r="J131" s="732">
        <f>J132+J133+J134+J135+J136+J137</f>
        <v>761572.8</v>
      </c>
      <c r="K131" s="732">
        <f>K132+K133+K134+K135+K136+K137</f>
        <v>761572.8</v>
      </c>
      <c r="L131" s="732">
        <f>L132+L133+L134+L135+L136+L137</f>
        <v>0</v>
      </c>
      <c r="M131" s="605">
        <f>F131+C131</f>
        <v>1284649.87</v>
      </c>
      <c r="N131" s="728"/>
    </row>
    <row r="132" spans="1:14" s="733" customFormat="1" ht="78.75">
      <c r="A132" s="591" t="s">
        <v>821</v>
      </c>
      <c r="B132" s="590" t="s">
        <v>913</v>
      </c>
      <c r="C132" s="732">
        <f>'додаток 2'!C179</f>
        <v>0</v>
      </c>
      <c r="D132" s="732">
        <f>'додаток 2'!D179</f>
        <v>0</v>
      </c>
      <c r="E132" s="732">
        <f>'додаток 2'!E179</f>
        <v>0</v>
      </c>
      <c r="F132" s="732">
        <f>'додаток 2'!F179</f>
        <v>34714.8</v>
      </c>
      <c r="G132" s="732">
        <f>'додаток 2'!G179</f>
        <v>0</v>
      </c>
      <c r="H132" s="732">
        <f>'додаток 2'!H179</f>
        <v>0</v>
      </c>
      <c r="I132" s="732">
        <f>'додаток 2'!I179</f>
        <v>0</v>
      </c>
      <c r="J132" s="732">
        <f>'додаток 2'!J179</f>
        <v>34714.8</v>
      </c>
      <c r="K132" s="732">
        <f>'додаток 2'!K179</f>
        <v>34714.8</v>
      </c>
      <c r="L132" s="732">
        <f>'додаток 2'!L179</f>
        <v>0</v>
      </c>
      <c r="M132" s="605">
        <f>F132+C132</f>
        <v>34714.8</v>
      </c>
      <c r="N132" s="728"/>
    </row>
    <row r="133" spans="1:14" ht="63">
      <c r="A133" s="591"/>
      <c r="B133" s="590" t="s">
        <v>912</v>
      </c>
      <c r="C133" s="732">
        <f>'додаток 2'!C180</f>
        <v>39160.46</v>
      </c>
      <c r="D133" s="732">
        <f>'додаток 2'!D180</f>
        <v>0</v>
      </c>
      <c r="E133" s="732">
        <f>'додаток 2'!E180</f>
        <v>0</v>
      </c>
      <c r="F133" s="732">
        <f>'додаток 2'!F180</f>
        <v>0</v>
      </c>
      <c r="G133" s="732">
        <f>'додаток 2'!G180</f>
        <v>0</v>
      </c>
      <c r="H133" s="732">
        <f>'додаток 2'!H180</f>
        <v>0</v>
      </c>
      <c r="I133" s="732">
        <f>'додаток 2'!I180</f>
        <v>0</v>
      </c>
      <c r="J133" s="732">
        <f>'додаток 2'!J180</f>
        <v>0</v>
      </c>
      <c r="K133" s="732">
        <f>'додаток 2'!K180</f>
        <v>0</v>
      </c>
      <c r="L133" s="732">
        <f>'додаток 2'!L180</f>
        <v>0</v>
      </c>
      <c r="M133" s="605">
        <f>F133+C133</f>
        <v>39160.46</v>
      </c>
      <c r="N133" s="728"/>
    </row>
    <row r="134" spans="1:14" ht="98.25" customHeight="1">
      <c r="A134" s="591"/>
      <c r="B134" s="590" t="s">
        <v>911</v>
      </c>
      <c r="C134" s="732">
        <f>'додаток 2'!C183</f>
        <v>0</v>
      </c>
      <c r="D134" s="732">
        <f>'додаток 2'!D183</f>
        <v>0</v>
      </c>
      <c r="E134" s="732">
        <f>'додаток 2'!E183</f>
        <v>0</v>
      </c>
      <c r="F134" s="732">
        <f>'додаток 2'!F183</f>
        <v>170000</v>
      </c>
      <c r="G134" s="732">
        <f>'додаток 2'!G183</f>
        <v>0</v>
      </c>
      <c r="H134" s="732">
        <f>'додаток 2'!H183</f>
        <v>0</v>
      </c>
      <c r="I134" s="732">
        <f>'додаток 2'!I183</f>
        <v>0</v>
      </c>
      <c r="J134" s="732">
        <f>'додаток 2'!J183</f>
        <v>170000</v>
      </c>
      <c r="K134" s="732">
        <f>'додаток 2'!K183</f>
        <v>170000</v>
      </c>
      <c r="L134" s="732">
        <f>'додаток 2'!L183</f>
        <v>0</v>
      </c>
      <c r="M134" s="605">
        <f>F134+C134</f>
        <v>170000</v>
      </c>
      <c r="N134" s="728"/>
    </row>
    <row r="135" spans="1:14" ht="94.5">
      <c r="A135" s="591"/>
      <c r="B135" s="590" t="s">
        <v>910</v>
      </c>
      <c r="C135" s="605">
        <f>'додаток 2'!C184</f>
        <v>61845.61</v>
      </c>
      <c r="D135" s="605">
        <f>'додаток 2'!D184</f>
        <v>0</v>
      </c>
      <c r="E135" s="605">
        <f>'додаток 2'!E184</f>
        <v>0</v>
      </c>
      <c r="F135" s="605">
        <f>'додаток 2'!F184</f>
        <v>0</v>
      </c>
      <c r="G135" s="605">
        <f>'додаток 2'!G184</f>
        <v>0</v>
      </c>
      <c r="H135" s="605">
        <f>'додаток 2'!H184</f>
        <v>0</v>
      </c>
      <c r="I135" s="605">
        <f>'додаток 2'!I184</f>
        <v>0</v>
      </c>
      <c r="J135" s="605">
        <f>'додаток 2'!J184</f>
        <v>0</v>
      </c>
      <c r="K135" s="605">
        <f>'додаток 2'!K184</f>
        <v>0</v>
      </c>
      <c r="L135" s="605">
        <f>'додаток 2'!L184</f>
        <v>0</v>
      </c>
      <c r="M135" s="605">
        <f>F135+C135</f>
        <v>61845.61</v>
      </c>
      <c r="N135" s="728"/>
    </row>
    <row r="136" spans="1:14" ht="94.5">
      <c r="A136" s="591"/>
      <c r="B136" s="590" t="s">
        <v>909</v>
      </c>
      <c r="C136" s="605">
        <f>'додаток 2'!C187</f>
        <v>0</v>
      </c>
      <c r="D136" s="605">
        <f>'додаток 2'!D187</f>
        <v>0</v>
      </c>
      <c r="E136" s="605">
        <f>'додаток 2'!E187</f>
        <v>0</v>
      </c>
      <c r="F136" s="605">
        <f>'додаток 2'!F187</f>
        <v>300000</v>
      </c>
      <c r="G136" s="605">
        <f>'додаток 2'!G187</f>
        <v>300000</v>
      </c>
      <c r="H136" s="605">
        <f>'додаток 2'!H187</f>
        <v>0</v>
      </c>
      <c r="I136" s="605">
        <f>'додаток 2'!I187</f>
        <v>0</v>
      </c>
      <c r="J136" s="605">
        <f>'додаток 2'!J187</f>
        <v>0</v>
      </c>
      <c r="K136" s="605">
        <f>'додаток 2'!K187</f>
        <v>0</v>
      </c>
      <c r="L136" s="605">
        <f>'додаток 2'!L187</f>
        <v>0</v>
      </c>
      <c r="M136" s="605">
        <f>F136+C136</f>
        <v>300000</v>
      </c>
      <c r="N136" s="728"/>
    </row>
    <row r="137" spans="1:14" ht="118.5" customHeight="1">
      <c r="A137" s="591"/>
      <c r="B137" s="590" t="s">
        <v>908</v>
      </c>
      <c r="C137" s="605">
        <f>'додаток 2'!C190</f>
        <v>122071</v>
      </c>
      <c r="D137" s="605">
        <f>'додаток 2'!D190</f>
        <v>0</v>
      </c>
      <c r="E137" s="605">
        <f>'додаток 2'!E190</f>
        <v>0</v>
      </c>
      <c r="F137" s="605">
        <f>'додаток 2'!F190</f>
        <v>556858</v>
      </c>
      <c r="G137" s="605">
        <f>'додаток 2'!G190</f>
        <v>0</v>
      </c>
      <c r="H137" s="605">
        <f>'додаток 2'!H190</f>
        <v>0</v>
      </c>
      <c r="I137" s="605">
        <f>'додаток 2'!I190</f>
        <v>0</v>
      </c>
      <c r="J137" s="605">
        <f>'додаток 2'!J190</f>
        <v>556858</v>
      </c>
      <c r="K137" s="605">
        <f>'додаток 2'!K190</f>
        <v>556858</v>
      </c>
      <c r="L137" s="605">
        <f>'додаток 2'!L190</f>
        <v>0</v>
      </c>
      <c r="M137" s="605">
        <f>F137+C137</f>
        <v>678929</v>
      </c>
      <c r="N137" s="728"/>
    </row>
    <row r="138" spans="1:14" s="727" customFormat="1" ht="19.5">
      <c r="A138" s="731"/>
      <c r="B138" s="730" t="s">
        <v>907</v>
      </c>
      <c r="C138" s="729">
        <f>C129+C130</f>
        <v>12491688.9</v>
      </c>
      <c r="D138" s="729">
        <f>D129+D130</f>
        <v>0</v>
      </c>
      <c r="E138" s="729">
        <f>E129+E130</f>
        <v>0</v>
      </c>
      <c r="F138" s="729">
        <f>F129+F130</f>
        <v>70490990.70000002</v>
      </c>
      <c r="G138" s="729">
        <f>G129+G130</f>
        <v>17414258.210000005</v>
      </c>
      <c r="H138" s="729">
        <f>H129+H130</f>
        <v>0</v>
      </c>
      <c r="I138" s="729">
        <f>I129+I130</f>
        <v>0</v>
      </c>
      <c r="J138" s="729">
        <f>J129+J130</f>
        <v>53076732.48999999</v>
      </c>
      <c r="K138" s="729">
        <f>K129+K130</f>
        <v>20394509.71</v>
      </c>
      <c r="L138" s="729">
        <f>L129+L130</f>
        <v>0</v>
      </c>
      <c r="M138" s="729">
        <f>M129+M130</f>
        <v>82982679.60000002</v>
      </c>
      <c r="N138" s="728"/>
    </row>
    <row r="139" ht="12.75">
      <c r="A139" s="717"/>
    </row>
    <row r="140" spans="1:13" ht="32.25" customHeight="1">
      <c r="A140" s="717"/>
      <c r="C140" s="722"/>
      <c r="D140" s="723"/>
      <c r="E140" s="723"/>
      <c r="F140" s="722"/>
      <c r="G140" s="723"/>
      <c r="H140" s="723"/>
      <c r="I140" s="723"/>
      <c r="J140" s="723"/>
      <c r="K140" s="723"/>
      <c r="L140" s="723"/>
      <c r="M140" s="722"/>
    </row>
    <row r="141" spans="1:13" ht="31.5" customHeight="1">
      <c r="A141" s="717"/>
      <c r="B141" s="726" t="s">
        <v>122</v>
      </c>
      <c r="C141" s="726"/>
      <c r="D141" s="726"/>
      <c r="E141" s="726"/>
      <c r="F141" s="725"/>
      <c r="G141" s="724"/>
      <c r="J141" s="723"/>
      <c r="K141" s="723"/>
      <c r="L141" s="576" t="s">
        <v>70</v>
      </c>
      <c r="M141" s="576"/>
    </row>
    <row r="142" spans="1:13" ht="15.75">
      <c r="A142" s="717"/>
      <c r="C142" s="722"/>
      <c r="D142" s="723"/>
      <c r="E142" s="723"/>
      <c r="F142" s="722"/>
      <c r="G142" s="723"/>
      <c r="H142" s="723"/>
      <c r="I142" s="723"/>
      <c r="J142" s="723"/>
      <c r="K142" s="723"/>
      <c r="L142" s="723"/>
      <c r="M142" s="722"/>
    </row>
    <row r="143" spans="1:13" ht="15.75">
      <c r="A143" s="717"/>
      <c r="B143" s="721"/>
      <c r="C143" s="716">
        <f>C138-'додаток 2'!C191</f>
        <v>0</v>
      </c>
      <c r="D143" s="716">
        <f>D138-'додаток 2'!D191</f>
        <v>0</v>
      </c>
      <c r="E143" s="716">
        <f>E138-'додаток 2'!E191</f>
        <v>0</v>
      </c>
      <c r="F143" s="716">
        <f>F138-'додаток 2'!F191</f>
        <v>0</v>
      </c>
      <c r="G143" s="716">
        <f>G138-'додаток 2'!G191</f>
        <v>0</v>
      </c>
      <c r="H143" s="716">
        <f>H138-'додаток 2'!H191</f>
        <v>0</v>
      </c>
      <c r="I143" s="716">
        <f>I138-'додаток 2'!I191</f>
        <v>0</v>
      </c>
      <c r="J143" s="716">
        <f>J138-'додаток 2'!J191</f>
        <v>0</v>
      </c>
      <c r="K143" s="716">
        <f>K138-'додаток 2'!K191</f>
        <v>0</v>
      </c>
      <c r="L143" s="716">
        <f>L138-'додаток 2'!L191</f>
        <v>0</v>
      </c>
      <c r="M143" s="716">
        <f>M138-'додаток 2'!M191</f>
        <v>0</v>
      </c>
    </row>
    <row r="144" spans="1:3" ht="15.75">
      <c r="A144" s="717"/>
      <c r="B144" s="720"/>
      <c r="C144" s="716"/>
    </row>
    <row r="145" spans="1:3" ht="15.75">
      <c r="A145" s="717"/>
      <c r="B145" s="720"/>
      <c r="C145" s="716"/>
    </row>
    <row r="146" spans="1:3" ht="15.75">
      <c r="A146" s="717"/>
      <c r="B146" s="720"/>
      <c r="C146" s="716"/>
    </row>
    <row r="147" spans="1:3" ht="15.75">
      <c r="A147" s="717"/>
      <c r="B147" s="720"/>
      <c r="C147" s="716"/>
    </row>
    <row r="148" spans="1:3" ht="15.75">
      <c r="A148" s="717"/>
      <c r="B148" s="720"/>
      <c r="C148" s="716"/>
    </row>
    <row r="149" ht="12.75">
      <c r="A149" s="717"/>
    </row>
    <row r="150" spans="1:12" ht="12.75">
      <c r="A150" s="717"/>
      <c r="C150" s="716"/>
      <c r="F150" s="716"/>
      <c r="L150" s="719"/>
    </row>
    <row r="151" spans="1:3" ht="12.75">
      <c r="A151" s="717"/>
      <c r="C151" s="718"/>
    </row>
    <row r="152" ht="12.75">
      <c r="A152" s="717"/>
    </row>
    <row r="153" spans="1:6" ht="12.75">
      <c r="A153" s="717"/>
      <c r="F153" s="716"/>
    </row>
    <row r="157" ht="12.75">
      <c r="C157" s="716"/>
    </row>
  </sheetData>
  <sheetProtection/>
  <mergeCells count="21">
    <mergeCell ref="L141:M141"/>
    <mergeCell ref="B8:B11"/>
    <mergeCell ref="M8:M11"/>
    <mergeCell ref="B141:E141"/>
    <mergeCell ref="F9:F11"/>
    <mergeCell ref="G9:G11"/>
    <mergeCell ref="A5:M5"/>
    <mergeCell ref="C8:E8"/>
    <mergeCell ref="F8:L8"/>
    <mergeCell ref="H9:I9"/>
    <mergeCell ref="A6:M6"/>
    <mergeCell ref="A8:A11"/>
    <mergeCell ref="I10:I11"/>
    <mergeCell ref="C9:C11"/>
    <mergeCell ref="D10:D11"/>
    <mergeCell ref="D9:E9"/>
    <mergeCell ref="K9:L9"/>
    <mergeCell ref="J9:J11"/>
    <mergeCell ref="H10:H11"/>
    <mergeCell ref="K10:K11"/>
    <mergeCell ref="E10:E11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differentFirst="1" alignWithMargins="0">
    <oddHeader>&amp;C&amp;P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1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.125" style="66" customWidth="1"/>
    <col min="2" max="2" width="5.25390625" style="66" hidden="1" customWidth="1"/>
    <col min="3" max="3" width="1.625" style="66" hidden="1" customWidth="1"/>
    <col min="4" max="4" width="86.625" style="109" customWidth="1"/>
    <col min="5" max="5" width="4.25390625" style="108" hidden="1" customWidth="1"/>
    <col min="6" max="6" width="10.125" style="107" hidden="1" customWidth="1"/>
    <col min="7" max="7" width="9.75390625" style="66" hidden="1" customWidth="1"/>
    <col min="8" max="8" width="10.125" style="66" hidden="1" customWidth="1"/>
    <col min="9" max="9" width="9.125" style="66" hidden="1" customWidth="1"/>
    <col min="10" max="10" width="14.75390625" style="106" customWidth="1"/>
    <col min="11" max="11" width="6.25390625" style="66" hidden="1" customWidth="1"/>
    <col min="12" max="12" width="8.125" style="66" hidden="1" customWidth="1"/>
    <col min="13" max="13" width="11.375" style="66" hidden="1" customWidth="1"/>
    <col min="14" max="14" width="7.75390625" style="66" hidden="1" customWidth="1"/>
    <col min="15" max="15" width="0.2421875" style="66" customWidth="1"/>
    <col min="16" max="16" width="12.75390625" style="66" bestFit="1" customWidth="1"/>
    <col min="17" max="16384" width="9.125" style="66" customWidth="1"/>
  </cols>
  <sheetData>
    <row r="1" spans="4:10" ht="15.75">
      <c r="D1" s="105" t="s">
        <v>367</v>
      </c>
      <c r="J1" s="300"/>
    </row>
    <row r="2" ht="15.75">
      <c r="J2" s="105" t="s">
        <v>154</v>
      </c>
    </row>
    <row r="3" ht="15.75">
      <c r="J3" s="105" t="s">
        <v>366</v>
      </c>
    </row>
    <row r="4" spans="1:10" ht="81" customHeight="1">
      <c r="A4" s="299" t="s">
        <v>365</v>
      </c>
      <c r="B4" s="299"/>
      <c r="C4" s="299"/>
      <c r="D4" s="299"/>
      <c r="E4" s="299"/>
      <c r="F4" s="299"/>
      <c r="G4" s="299"/>
      <c r="H4" s="299"/>
      <c r="I4" s="299"/>
      <c r="J4" s="299"/>
    </row>
    <row r="5" ht="15.75">
      <c r="J5" s="298" t="s">
        <v>7</v>
      </c>
    </row>
    <row r="6" spans="1:12" ht="24.75" customHeight="1">
      <c r="A6" s="101" t="s">
        <v>364</v>
      </c>
      <c r="B6" s="101" t="s">
        <v>151</v>
      </c>
      <c r="C6" s="191"/>
      <c r="D6" s="297" t="s">
        <v>150</v>
      </c>
      <c r="E6" s="296" t="s">
        <v>149</v>
      </c>
      <c r="F6" s="290" t="s">
        <v>363</v>
      </c>
      <c r="G6" s="289" t="s">
        <v>362</v>
      </c>
      <c r="H6" s="101" t="s">
        <v>361</v>
      </c>
      <c r="I6" s="101" t="s">
        <v>360</v>
      </c>
      <c r="J6" s="295" t="s">
        <v>359</v>
      </c>
      <c r="K6" s="294" t="s">
        <v>358</v>
      </c>
      <c r="L6" s="293" t="s">
        <v>357</v>
      </c>
    </row>
    <row r="7" spans="1:12" ht="47.25" customHeight="1">
      <c r="A7" s="98"/>
      <c r="B7" s="98"/>
      <c r="C7" s="216"/>
      <c r="D7" s="292"/>
      <c r="E7" s="291"/>
      <c r="F7" s="290"/>
      <c r="G7" s="289"/>
      <c r="H7" s="98"/>
      <c r="I7" s="98"/>
      <c r="J7" s="288"/>
      <c r="K7" s="287"/>
      <c r="L7" s="286"/>
    </row>
    <row r="8" spans="1:12" ht="15.75">
      <c r="A8" s="285">
        <v>1</v>
      </c>
      <c r="B8" s="209">
        <v>1</v>
      </c>
      <c r="C8" s="80"/>
      <c r="D8" s="285">
        <v>2</v>
      </c>
      <c r="E8" s="117">
        <v>3</v>
      </c>
      <c r="F8" s="116">
        <v>4</v>
      </c>
      <c r="G8" s="80">
        <v>5</v>
      </c>
      <c r="H8" s="80">
        <v>6</v>
      </c>
      <c r="I8" s="80">
        <v>7</v>
      </c>
      <c r="J8" s="285">
        <v>3</v>
      </c>
      <c r="K8" s="80">
        <v>9</v>
      </c>
      <c r="L8" s="80">
        <v>10</v>
      </c>
    </row>
    <row r="9" spans="1:12" ht="15.75">
      <c r="A9" s="284" t="s">
        <v>356</v>
      </c>
      <c r="B9" s="284"/>
      <c r="C9" s="284"/>
      <c r="D9" s="284"/>
      <c r="E9" s="284"/>
      <c r="F9" s="284"/>
      <c r="G9" s="284"/>
      <c r="H9" s="284"/>
      <c r="I9" s="284"/>
      <c r="J9" s="283">
        <f>J10+J13+J16+J22+J27+J29+J32+J40+J42+J45+J47+J53+J62+J79+J94+J56</f>
        <v>5006544.32</v>
      </c>
      <c r="K9" s="282"/>
      <c r="L9" s="281"/>
    </row>
    <row r="10" spans="1:12" ht="18.75" customHeight="1">
      <c r="A10" s="80"/>
      <c r="B10" s="209"/>
      <c r="C10" s="80"/>
      <c r="D10" s="247" t="s">
        <v>355</v>
      </c>
      <c r="E10" s="271"/>
      <c r="F10" s="211">
        <f>SUM(F11:F12)</f>
        <v>4134900</v>
      </c>
      <c r="G10" s="140">
        <f>SUM(G11:G12)</f>
        <v>892869.4100000001</v>
      </c>
      <c r="H10" s="140">
        <f>SUM(H11:H12)</f>
        <v>892869.41</v>
      </c>
      <c r="I10" s="140">
        <f>SUM(I11:I12)</f>
        <v>1.1641532182693481E-10</v>
      </c>
      <c r="J10" s="121">
        <f>SUM(J11:J12)</f>
        <v>227313.59</v>
      </c>
      <c r="K10" s="140">
        <f>SUM(K11:K12)</f>
        <v>0</v>
      </c>
      <c r="L10" s="140">
        <f>SUM(L11:L12)</f>
        <v>0</v>
      </c>
    </row>
    <row r="11" spans="1:12" ht="15.75">
      <c r="A11" s="80">
        <v>1</v>
      </c>
      <c r="B11" s="209"/>
      <c r="C11" s="80"/>
      <c r="D11" s="280" t="s">
        <v>354</v>
      </c>
      <c r="E11" s="271">
        <v>3132</v>
      </c>
      <c r="F11" s="125">
        <f>1000000+2400000</f>
        <v>3400000</v>
      </c>
      <c r="G11" s="124">
        <f>758161.27+134546.27+94331.27+12961.19+192310.69+102348.3+71867.99+62717.72+33824.86+165893.69+127559.54+133064.52+40962.31+126269.05+22215.61+212148.21+156006.11-1555718.19</f>
        <v>891470.4100000001</v>
      </c>
      <c r="H11" s="124">
        <f>23683.65+271396.35+239607.08+58795.98+16400+224122.94+15464+41560.41+440</f>
        <v>891470.41</v>
      </c>
      <c r="I11" s="124">
        <f>SUM(G11-H11)</f>
        <v>1.1641532182693481E-10</v>
      </c>
      <c r="J11" s="115">
        <f>108969.59+24788+1000</f>
        <v>134757.59</v>
      </c>
      <c r="K11" s="124"/>
      <c r="L11" s="124"/>
    </row>
    <row r="12" spans="1:12" ht="15.75">
      <c r="A12" s="202">
        <v>2</v>
      </c>
      <c r="B12" s="219"/>
      <c r="C12" s="202"/>
      <c r="D12" s="280" t="s">
        <v>353</v>
      </c>
      <c r="E12" s="271">
        <v>2240</v>
      </c>
      <c r="F12" s="125">
        <v>734900</v>
      </c>
      <c r="G12" s="124">
        <f>307177.77+48595.8+32860.1+23942.82+65051.41+40536.78+38171.87+36952.66+41081.86+68665.73+22647.57+9215.63-733501</f>
        <v>1399</v>
      </c>
      <c r="H12" s="124">
        <f>1399</f>
        <v>1399</v>
      </c>
      <c r="I12" s="124">
        <f>SUM(G12-H12)</f>
        <v>0</v>
      </c>
      <c r="J12" s="115">
        <f>92556</f>
        <v>92556</v>
      </c>
      <c r="K12" s="124"/>
      <c r="L12" s="124"/>
    </row>
    <row r="13" spans="1:12" ht="18" customHeight="1">
      <c r="A13" s="202"/>
      <c r="B13" s="219"/>
      <c r="C13" s="202"/>
      <c r="D13" s="247" t="s">
        <v>352</v>
      </c>
      <c r="E13" s="271"/>
      <c r="F13" s="211">
        <f>SUM(F14:F15)</f>
        <v>390200</v>
      </c>
      <c r="G13" s="140">
        <f>SUM(G14:G15)</f>
        <v>93127</v>
      </c>
      <c r="H13" s="140">
        <f>SUM(H14:H15)</f>
        <v>93127</v>
      </c>
      <c r="I13" s="140">
        <f>SUM(I14:I15)</f>
        <v>0</v>
      </c>
      <c r="J13" s="121">
        <f>SUM(J14:J15)</f>
        <v>117981</v>
      </c>
      <c r="K13" s="124">
        <f>SUM(K14:K15)</f>
        <v>0</v>
      </c>
      <c r="L13" s="124">
        <f>SUM(L14:L15)</f>
        <v>178768</v>
      </c>
    </row>
    <row r="14" spans="1:12" ht="15.75">
      <c r="A14" s="202">
        <v>3</v>
      </c>
      <c r="B14" s="219"/>
      <c r="C14" s="202"/>
      <c r="D14" s="280" t="s">
        <v>351</v>
      </c>
      <c r="E14" s="271">
        <v>3132</v>
      </c>
      <c r="F14" s="226">
        <v>323000</v>
      </c>
      <c r="G14" s="124">
        <f>71236.27+16819.92+19889.6+13708.53+8759.19+9248.62+4543.26+2449.44+6045.34+9239.87+9638.63+10629.07+16980.14-108841.88</f>
        <v>90346</v>
      </c>
      <c r="H14" s="124">
        <f>88056+2290</f>
        <v>90346</v>
      </c>
      <c r="I14" s="124">
        <f>SUM(G14-H14)</f>
        <v>0</v>
      </c>
      <c r="J14" s="186">
        <f>51606+1956</f>
        <v>53562</v>
      </c>
      <c r="K14" s="187"/>
      <c r="L14" s="187">
        <f>175513+5545-2290</f>
        <v>178768</v>
      </c>
    </row>
    <row r="15" spans="1:12" ht="15.75">
      <c r="A15" s="202">
        <v>4</v>
      </c>
      <c r="B15" s="219"/>
      <c r="C15" s="202"/>
      <c r="D15" s="280" t="s">
        <v>350</v>
      </c>
      <c r="E15" s="271">
        <v>3132</v>
      </c>
      <c r="F15" s="125">
        <v>67200</v>
      </c>
      <c r="G15" s="124">
        <f>59748.71+5971.29+1480-64419</f>
        <v>2781</v>
      </c>
      <c r="H15" s="124">
        <f>2781</f>
        <v>2781</v>
      </c>
      <c r="I15" s="124">
        <f>SUM(G15-H15)</f>
        <v>0</v>
      </c>
      <c r="J15" s="115">
        <f>1680+62739</f>
        <v>64419</v>
      </c>
      <c r="K15" s="124"/>
      <c r="L15" s="187"/>
    </row>
    <row r="16" spans="1:12" ht="15.75">
      <c r="A16" s="80"/>
      <c r="B16" s="209">
        <v>16</v>
      </c>
      <c r="C16" s="80"/>
      <c r="D16" s="247" t="s">
        <v>276</v>
      </c>
      <c r="E16" s="244"/>
      <c r="F16" s="211">
        <f>SUM(F17:F21)</f>
        <v>410133</v>
      </c>
      <c r="G16" s="140">
        <f>SUM(G17:G21)</f>
        <v>184794</v>
      </c>
      <c r="H16" s="140">
        <f>SUM(H17:H21)</f>
        <v>184794</v>
      </c>
      <c r="I16" s="140">
        <f>SUM(I17:I21)</f>
        <v>0</v>
      </c>
      <c r="J16" s="121">
        <f>SUM(J17:J21)</f>
        <v>203580</v>
      </c>
      <c r="K16" s="140">
        <f>SUM(K17:K21)</f>
        <v>0</v>
      </c>
      <c r="L16" s="140">
        <f>SUM(L17:L21)</f>
        <v>0</v>
      </c>
    </row>
    <row r="17" spans="1:12" ht="30">
      <c r="A17" s="202">
        <v>5</v>
      </c>
      <c r="B17" s="209"/>
      <c r="C17" s="240"/>
      <c r="D17" s="278" t="s">
        <v>349</v>
      </c>
      <c r="E17" s="229">
        <v>3132</v>
      </c>
      <c r="F17" s="279">
        <v>100958</v>
      </c>
      <c r="G17" s="187">
        <f>2502.71+61625.89+27092.4-91221</f>
        <v>0</v>
      </c>
      <c r="H17" s="124"/>
      <c r="I17" s="124">
        <f>SUM(G17-H17)</f>
        <v>0</v>
      </c>
      <c r="J17" s="186">
        <v>91221</v>
      </c>
      <c r="K17" s="187"/>
      <c r="L17" s="261"/>
    </row>
    <row r="18" spans="1:12" ht="15.75">
      <c r="A18" s="202">
        <v>6</v>
      </c>
      <c r="B18" s="209"/>
      <c r="C18" s="240"/>
      <c r="D18" s="278" t="s">
        <v>348</v>
      </c>
      <c r="E18" s="229">
        <v>3132</v>
      </c>
      <c r="F18" s="279">
        <v>94857</v>
      </c>
      <c r="G18" s="124">
        <f>25209.79+67170.21-90781</f>
        <v>1599</v>
      </c>
      <c r="H18" s="124">
        <f>1599</f>
        <v>1599</v>
      </c>
      <c r="I18" s="124">
        <f>SUM(G18-H18)</f>
        <v>0</v>
      </c>
      <c r="J18" s="115">
        <f>86241+4540</f>
        <v>90781</v>
      </c>
      <c r="K18" s="124">
        <f>4540-4540</f>
        <v>0</v>
      </c>
      <c r="L18" s="124"/>
    </row>
    <row r="19" spans="1:12" ht="15.75">
      <c r="A19" s="202">
        <v>7</v>
      </c>
      <c r="B19" s="209"/>
      <c r="C19" s="240"/>
      <c r="D19" s="278" t="s">
        <v>347</v>
      </c>
      <c r="E19" s="229">
        <v>3132</v>
      </c>
      <c r="F19" s="226">
        <v>85524</v>
      </c>
      <c r="G19" s="124">
        <f>75852.49+4712.51-13787</f>
        <v>66778</v>
      </c>
      <c r="H19" s="124">
        <f>4843+61935</f>
        <v>66778</v>
      </c>
      <c r="I19" s="124">
        <f>SUM(G19-H19)</f>
        <v>0</v>
      </c>
      <c r="J19" s="115">
        <f>13787</f>
        <v>13787</v>
      </c>
      <c r="K19" s="124">
        <f>13787-13787</f>
        <v>0</v>
      </c>
      <c r="L19" s="187"/>
    </row>
    <row r="20" spans="1:12" ht="15.75">
      <c r="A20" s="202">
        <v>8</v>
      </c>
      <c r="B20" s="209"/>
      <c r="C20" s="240"/>
      <c r="D20" s="278" t="s">
        <v>346</v>
      </c>
      <c r="E20" s="229">
        <v>3132</v>
      </c>
      <c r="F20" s="226">
        <v>89000</v>
      </c>
      <c r="G20" s="124">
        <f>26235+60479-4401</f>
        <v>82313</v>
      </c>
      <c r="H20" s="124">
        <f>26235+1494+54584</f>
        <v>82313</v>
      </c>
      <c r="I20" s="124">
        <f>SUM(G20-H20)</f>
        <v>0</v>
      </c>
      <c r="J20" s="115">
        <f>140+4261</f>
        <v>4401</v>
      </c>
      <c r="K20" s="124"/>
      <c r="L20" s="259"/>
    </row>
    <row r="21" spans="1:12" ht="15.75">
      <c r="A21" s="202">
        <v>9</v>
      </c>
      <c r="B21" s="209"/>
      <c r="C21" s="240"/>
      <c r="D21" s="278" t="s">
        <v>345</v>
      </c>
      <c r="E21" s="229">
        <v>3132</v>
      </c>
      <c r="F21" s="226">
        <v>39794</v>
      </c>
      <c r="G21" s="124">
        <f>21335.81+16158.19-3390</f>
        <v>34104</v>
      </c>
      <c r="H21" s="124">
        <f>1188+32916</f>
        <v>34104</v>
      </c>
      <c r="I21" s="124">
        <f>SUM(G21-H21)</f>
        <v>0</v>
      </c>
      <c r="J21" s="115">
        <v>3390</v>
      </c>
      <c r="K21" s="124"/>
      <c r="L21" s="259"/>
    </row>
    <row r="22" spans="1:12" ht="14.25" customHeight="1">
      <c r="A22" s="216"/>
      <c r="B22" s="245">
        <v>28</v>
      </c>
      <c r="C22" s="216"/>
      <c r="D22" s="225" t="s">
        <v>274</v>
      </c>
      <c r="E22" s="244"/>
      <c r="F22" s="175">
        <f>SUM(F23:F26)</f>
        <v>895850</v>
      </c>
      <c r="G22" s="174">
        <f>SUM(G23:G26)</f>
        <v>553810</v>
      </c>
      <c r="H22" s="174">
        <f>SUM(H23:H26)</f>
        <v>553810</v>
      </c>
      <c r="I22" s="124">
        <f>SUM(I23:I26)</f>
        <v>5.820766091346741E-11</v>
      </c>
      <c r="J22" s="121">
        <f>SUM(J23:J26)</f>
        <v>74928</v>
      </c>
      <c r="K22" s="140">
        <f>SUM(K23:K26)</f>
        <v>0</v>
      </c>
      <c r="L22" s="140">
        <f>SUM(L23:L26)</f>
        <v>266564</v>
      </c>
    </row>
    <row r="23" spans="1:12" ht="15.75">
      <c r="A23" s="128">
        <v>10</v>
      </c>
      <c r="B23" s="241"/>
      <c r="C23" s="240"/>
      <c r="D23" s="155" t="s">
        <v>344</v>
      </c>
      <c r="E23" s="276">
        <v>3132</v>
      </c>
      <c r="F23" s="125">
        <v>299950</v>
      </c>
      <c r="G23" s="124">
        <f>112870.08-101090.91+2101.15+31587.34-45467.66</f>
        <v>0</v>
      </c>
      <c r="H23" s="277"/>
      <c r="I23" s="124">
        <f>SUM(G23-H23)</f>
        <v>0</v>
      </c>
      <c r="J23" s="115">
        <f>32838</f>
        <v>32838</v>
      </c>
      <c r="K23" s="124"/>
      <c r="L23" s="261">
        <f>262194+4370</f>
        <v>266564</v>
      </c>
    </row>
    <row r="24" spans="1:12" ht="30">
      <c r="A24" s="128">
        <v>11</v>
      </c>
      <c r="B24" s="241"/>
      <c r="C24" s="240"/>
      <c r="D24" s="155" t="s">
        <v>343</v>
      </c>
      <c r="E24" s="276">
        <v>3132</v>
      </c>
      <c r="F24" s="125">
        <v>299850</v>
      </c>
      <c r="G24" s="124">
        <f>21818.46+58314.16+63492.91+63397.17+60506.84+32320.46-14747</f>
        <v>285103.00000000006</v>
      </c>
      <c r="H24" s="124">
        <f>249283+4920+30900</f>
        <v>285103</v>
      </c>
      <c r="I24" s="124">
        <f>SUM(G24-H24)</f>
        <v>5.820766091346741E-11</v>
      </c>
      <c r="J24" s="115">
        <v>14747</v>
      </c>
      <c r="K24" s="124">
        <f>14747-14747</f>
        <v>0</v>
      </c>
      <c r="L24" s="261"/>
    </row>
    <row r="25" spans="1:12" ht="15.75">
      <c r="A25" s="128">
        <v>12</v>
      </c>
      <c r="B25" s="241"/>
      <c r="C25" s="240"/>
      <c r="D25" s="155" t="s">
        <v>342</v>
      </c>
      <c r="E25" s="276">
        <v>3132</v>
      </c>
      <c r="F25" s="125">
        <v>202300</v>
      </c>
      <c r="G25" s="124">
        <f>73004.59+28204.5+101090.91-9949</f>
        <v>192351</v>
      </c>
      <c r="H25" s="124">
        <f>59692+3322+129337</f>
        <v>192351</v>
      </c>
      <c r="I25" s="124">
        <f>SUM(G25-H25)</f>
        <v>0</v>
      </c>
      <c r="J25" s="186">
        <f>9949</f>
        <v>9949</v>
      </c>
      <c r="K25" s="124">
        <f>9949-9949</f>
        <v>0</v>
      </c>
      <c r="L25" s="261"/>
    </row>
    <row r="26" spans="1:12" ht="15.75">
      <c r="A26" s="128">
        <v>13</v>
      </c>
      <c r="B26" s="241"/>
      <c r="C26" s="240"/>
      <c r="D26" s="155" t="s">
        <v>341</v>
      </c>
      <c r="E26" s="276">
        <v>2240</v>
      </c>
      <c r="F26" s="125">
        <v>93750</v>
      </c>
      <c r="G26" s="124">
        <f>67941.55+22890.66+2917.79-17394</f>
        <v>76356</v>
      </c>
      <c r="H26" s="124">
        <f>1356+75000</f>
        <v>76356</v>
      </c>
      <c r="I26" s="124">
        <f>SUM(G26-H26)</f>
        <v>0</v>
      </c>
      <c r="J26" s="115">
        <f>92394-75000</f>
        <v>17394</v>
      </c>
      <c r="K26" s="124"/>
      <c r="L26" s="261"/>
    </row>
    <row r="27" spans="1:12" ht="17.25" customHeight="1">
      <c r="A27" s="80"/>
      <c r="B27" s="209">
        <v>36</v>
      </c>
      <c r="C27" s="80"/>
      <c r="D27" s="225" t="s">
        <v>266</v>
      </c>
      <c r="E27" s="238"/>
      <c r="F27" s="275">
        <f>SUM(F28:F28)</f>
        <v>542000</v>
      </c>
      <c r="G27" s="140">
        <f>SUM(G28:G28)</f>
        <v>130800</v>
      </c>
      <c r="H27" s="140">
        <f>SUM(H28:H28)</f>
        <v>130800</v>
      </c>
      <c r="I27" s="124">
        <f>SUM(I28:I28)</f>
        <v>0</v>
      </c>
      <c r="J27" s="121">
        <f>SUM(J28:J28)</f>
        <v>202900</v>
      </c>
      <c r="K27" s="140">
        <f>SUM(K28:K28)</f>
        <v>0</v>
      </c>
      <c r="L27" s="140">
        <f>SUM(L28:L28)</f>
        <v>201900</v>
      </c>
    </row>
    <row r="28" spans="1:12" ht="15.75">
      <c r="A28" s="128">
        <v>14</v>
      </c>
      <c r="B28" s="209"/>
      <c r="C28" s="208"/>
      <c r="D28" s="127" t="s">
        <v>340</v>
      </c>
      <c r="E28" s="274">
        <v>3132</v>
      </c>
      <c r="F28" s="226">
        <v>542000</v>
      </c>
      <c r="G28" s="124">
        <f>38900+46900+45000+44300+48800+54500+55300-202900</f>
        <v>130800</v>
      </c>
      <c r="H28" s="124">
        <f>130800</f>
        <v>130800</v>
      </c>
      <c r="I28" s="124">
        <f>SUM(G28-H28)</f>
        <v>0</v>
      </c>
      <c r="J28" s="115">
        <f>93100+109800</f>
        <v>202900</v>
      </c>
      <c r="K28" s="124"/>
      <c r="L28" s="125">
        <f>302473-109800+9227</f>
        <v>201900</v>
      </c>
    </row>
    <row r="29" spans="1:15" ht="13.5" customHeight="1">
      <c r="A29" s="128"/>
      <c r="B29" s="209"/>
      <c r="C29" s="208"/>
      <c r="D29" s="212" t="s">
        <v>262</v>
      </c>
      <c r="E29" s="236"/>
      <c r="F29" s="211">
        <f>SUM(F30:F31)</f>
        <v>267800</v>
      </c>
      <c r="G29" s="140">
        <f>SUM(G30:G31)</f>
        <v>68160</v>
      </c>
      <c r="H29" s="140">
        <f>SUM(H30:H31)</f>
        <v>68160</v>
      </c>
      <c r="I29" s="124">
        <f>SUM(I30:I31)</f>
        <v>0</v>
      </c>
      <c r="J29" s="121">
        <f>SUM(J30:J31)</f>
        <v>94140</v>
      </c>
      <c r="K29" s="140">
        <f>SUM(K30:K31)</f>
        <v>0</v>
      </c>
      <c r="L29" s="140">
        <f>SUM(L30:L31)</f>
        <v>105500</v>
      </c>
      <c r="M29" s="224" t="e">
        <f>SUM(#REF!)</f>
        <v>#REF!</v>
      </c>
      <c r="N29" s="224" t="e">
        <f>SUM(#REF!)</f>
        <v>#REF!</v>
      </c>
      <c r="O29" s="224" t="e">
        <f>SUM(#REF!)</f>
        <v>#REF!</v>
      </c>
    </row>
    <row r="30" spans="1:12" ht="15.75">
      <c r="A30" s="128">
        <v>15</v>
      </c>
      <c r="B30" s="209"/>
      <c r="C30" s="208"/>
      <c r="D30" s="127" t="s">
        <v>339</v>
      </c>
      <c r="E30" s="274">
        <v>3132</v>
      </c>
      <c r="F30" s="125">
        <v>216800</v>
      </c>
      <c r="G30" s="124">
        <f>15600+18700+18000+17700+41300+22100-81100</f>
        <v>52300</v>
      </c>
      <c r="H30" s="124">
        <f>52300</f>
        <v>52300</v>
      </c>
      <c r="I30" s="124">
        <f>SUM(G30-H30)</f>
        <v>0</v>
      </c>
      <c r="J30" s="115">
        <v>59000</v>
      </c>
      <c r="K30" s="124"/>
      <c r="L30" s="188">
        <v>105500</v>
      </c>
    </row>
    <row r="31" spans="1:12" ht="15.75">
      <c r="A31" s="128">
        <v>16</v>
      </c>
      <c r="B31" s="209"/>
      <c r="C31" s="208"/>
      <c r="D31" s="127" t="s">
        <v>338</v>
      </c>
      <c r="E31" s="274">
        <v>2240</v>
      </c>
      <c r="F31" s="125">
        <v>51000</v>
      </c>
      <c r="G31" s="124">
        <f>23000-7940+7940+6700+6400+14900-35140</f>
        <v>15860</v>
      </c>
      <c r="H31" s="124">
        <f>15060+800</f>
        <v>15860</v>
      </c>
      <c r="I31" s="124">
        <f>SUM(G31-H31)</f>
        <v>0</v>
      </c>
      <c r="J31" s="115">
        <f>35140</f>
        <v>35140</v>
      </c>
      <c r="K31" s="124"/>
      <c r="L31" s="125"/>
    </row>
    <row r="32" spans="1:12" ht="15" customHeight="1">
      <c r="A32" s="80"/>
      <c r="B32" s="209"/>
      <c r="C32" s="208"/>
      <c r="D32" s="234" t="s">
        <v>259</v>
      </c>
      <c r="E32" s="229"/>
      <c r="F32" s="211">
        <f>SUM(F33:F39)</f>
        <v>1159900</v>
      </c>
      <c r="G32" s="140">
        <f>SUM(G33:G39)</f>
        <v>584690</v>
      </c>
      <c r="H32" s="140">
        <f>SUM(H33:H39)</f>
        <v>584690</v>
      </c>
      <c r="I32" s="124">
        <f>SUM(I33:I39)</f>
        <v>2.9103830456733704E-11</v>
      </c>
      <c r="J32" s="121">
        <f>SUM(J33:J39)</f>
        <v>555199</v>
      </c>
      <c r="K32" s="124">
        <f>SUM(K33:K39)</f>
        <v>0</v>
      </c>
      <c r="L32" s="140">
        <f>SUM(L33:L39)</f>
        <v>0</v>
      </c>
    </row>
    <row r="33" spans="1:12" ht="15" customHeight="1">
      <c r="A33" s="128">
        <v>17</v>
      </c>
      <c r="B33" s="209"/>
      <c r="C33" s="208"/>
      <c r="D33" s="270" t="s">
        <v>337</v>
      </c>
      <c r="E33" s="229">
        <v>3132</v>
      </c>
      <c r="F33" s="125">
        <v>160000</v>
      </c>
      <c r="G33" s="124">
        <f>2080+10192+10629+10339.71+22480.33+22761.87+29878.51+10492.29+2853+26995+7038.29-7653</f>
        <v>148087</v>
      </c>
      <c r="H33" s="124">
        <f>2684+145403</f>
        <v>148087</v>
      </c>
      <c r="I33" s="124">
        <f>SUM(G33-H33)</f>
        <v>0</v>
      </c>
      <c r="J33" s="115">
        <f>7653</f>
        <v>7653</v>
      </c>
      <c r="K33" s="124">
        <f>7653-7653</f>
        <v>0</v>
      </c>
      <c r="L33" s="261"/>
    </row>
    <row r="34" spans="1:12" ht="14.25" customHeight="1">
      <c r="A34" s="128">
        <v>18</v>
      </c>
      <c r="B34" s="209"/>
      <c r="C34" s="208"/>
      <c r="D34" s="127" t="s">
        <v>336</v>
      </c>
      <c r="E34" s="229">
        <v>3132</v>
      </c>
      <c r="F34" s="125">
        <v>200000</v>
      </c>
      <c r="G34" s="124">
        <f>1047.41+4260+6428.59+39540+15043+30332.63+9168.36+35987.01+25091+7183+17162-187961</f>
        <v>3282</v>
      </c>
      <c r="H34" s="124">
        <f>3282</f>
        <v>3282</v>
      </c>
      <c r="I34" s="124">
        <f>SUM(G34-H34)</f>
        <v>0</v>
      </c>
      <c r="J34" s="115">
        <f>187961</f>
        <v>187961</v>
      </c>
      <c r="K34" s="124"/>
      <c r="L34" s="261"/>
    </row>
    <row r="35" spans="1:12" ht="15" customHeight="1">
      <c r="A35" s="128">
        <v>19</v>
      </c>
      <c r="B35" s="209"/>
      <c r="C35" s="208"/>
      <c r="D35" s="270" t="s">
        <v>335</v>
      </c>
      <c r="E35" s="229">
        <v>3132</v>
      </c>
      <c r="F35" s="125">
        <v>175000</v>
      </c>
      <c r="G35" s="124">
        <f>19072.66+60303.38+26276.09+12100.07+3849.83+53397.97-8607</f>
        <v>166393</v>
      </c>
      <c r="H35" s="124">
        <f>2870+163523</f>
        <v>166393</v>
      </c>
      <c r="I35" s="124">
        <f>SUM(G35-H35)</f>
        <v>0</v>
      </c>
      <c r="J35" s="115">
        <f>8607</f>
        <v>8607</v>
      </c>
      <c r="K35" s="124">
        <f>8607-8607</f>
        <v>0</v>
      </c>
      <c r="L35" s="261"/>
    </row>
    <row r="36" spans="1:12" ht="15.75">
      <c r="A36" s="128">
        <v>20</v>
      </c>
      <c r="B36" s="209"/>
      <c r="C36" s="208"/>
      <c r="D36" s="127" t="s">
        <v>334</v>
      </c>
      <c r="E36" s="229">
        <v>3132</v>
      </c>
      <c r="F36" s="226">
        <v>120000</v>
      </c>
      <c r="G36" s="124">
        <f>18327.05+55365.46+2616.64+459.59+6091+28125.41+1987+4027.85-25731</f>
        <v>91269</v>
      </c>
      <c r="H36" s="124">
        <f>2078+89191</f>
        <v>91269</v>
      </c>
      <c r="I36" s="124">
        <f>SUM(G36-H36)</f>
        <v>0</v>
      </c>
      <c r="J36" s="115">
        <f>114922-89191</f>
        <v>25731</v>
      </c>
      <c r="K36" s="124"/>
      <c r="L36" s="261"/>
    </row>
    <row r="37" spans="1:12" ht="15.75">
      <c r="A37" s="128">
        <v>21</v>
      </c>
      <c r="B37" s="209"/>
      <c r="C37" s="208"/>
      <c r="D37" s="127" t="s">
        <v>333</v>
      </c>
      <c r="E37" s="229">
        <v>3132</v>
      </c>
      <c r="F37" s="226">
        <v>183044</v>
      </c>
      <c r="G37" s="124">
        <f>15302.03+1618+10209.34+24425.65-5371.07+32701+5957.71+217.52+4422+38889.83+19550.97+780+17130+13217.02-85288</f>
        <v>93762.00000000003</v>
      </c>
      <c r="H37" s="124">
        <f>3088+69350+21324</f>
        <v>93762</v>
      </c>
      <c r="I37" s="124">
        <f>SUM(G37-H37)</f>
        <v>2.9103830456733704E-11</v>
      </c>
      <c r="J37" s="115">
        <f>167163-69350-21324+8799</f>
        <v>85288</v>
      </c>
      <c r="K37" s="124">
        <f>8799-8799</f>
        <v>0</v>
      </c>
      <c r="L37" s="273"/>
    </row>
    <row r="38" spans="1:12" ht="15" customHeight="1">
      <c r="A38" s="128">
        <v>22</v>
      </c>
      <c r="B38" s="209"/>
      <c r="C38" s="208"/>
      <c r="D38" s="270" t="s">
        <v>332</v>
      </c>
      <c r="E38" s="229">
        <v>3132</v>
      </c>
      <c r="F38" s="188">
        <v>241856</v>
      </c>
      <c r="G38" s="187">
        <f>236484.93+5371.07-161117</f>
        <v>80739</v>
      </c>
      <c r="H38" s="124">
        <f>76485+4254</f>
        <v>80739</v>
      </c>
      <c r="I38" s="124">
        <f>SUM(G38-H38)</f>
        <v>0</v>
      </c>
      <c r="J38" s="186">
        <f>161117</f>
        <v>161117</v>
      </c>
      <c r="K38" s="187"/>
      <c r="L38" s="261"/>
    </row>
    <row r="39" spans="1:12" ht="15.75" customHeight="1">
      <c r="A39" s="128">
        <v>23</v>
      </c>
      <c r="B39" s="209"/>
      <c r="C39" s="208"/>
      <c r="D39" s="270" t="s">
        <v>331</v>
      </c>
      <c r="E39" s="229">
        <v>2240</v>
      </c>
      <c r="F39" s="125">
        <v>80000</v>
      </c>
      <c r="G39" s="124">
        <f>7030.35-1148.22+282+1860+6179+24787.87+959+953.42+3148.58+177.49+2199+10141.51+717+5315+4414.72+10752.16+2231.12-78842</f>
        <v>1158</v>
      </c>
      <c r="H39" s="124">
        <f>1158</f>
        <v>1158</v>
      </c>
      <c r="I39" s="124">
        <f>SUM(G39-H39)</f>
        <v>0</v>
      </c>
      <c r="J39" s="115">
        <f>78842</f>
        <v>78842</v>
      </c>
      <c r="K39" s="124"/>
      <c r="L39" s="124"/>
    </row>
    <row r="40" spans="1:12" ht="14.25" customHeight="1">
      <c r="A40" s="80"/>
      <c r="B40" s="209"/>
      <c r="C40" s="208"/>
      <c r="D40" s="176" t="s">
        <v>330</v>
      </c>
      <c r="E40" s="229"/>
      <c r="F40" s="211">
        <f>SUM(F41:F41)</f>
        <v>419850</v>
      </c>
      <c r="G40" s="140">
        <f>SUM(G41:G41)</f>
        <v>249480</v>
      </c>
      <c r="H40" s="211">
        <f>SUM(H41:H41)</f>
        <v>249480</v>
      </c>
      <c r="I40" s="124">
        <f>SUM(I41:I41)</f>
        <v>0</v>
      </c>
      <c r="J40" s="121">
        <f>SUM(J41:J41)</f>
        <v>166872</v>
      </c>
      <c r="K40" s="140">
        <f>SUM(K41:K41)</f>
        <v>0</v>
      </c>
      <c r="L40" s="124">
        <f>SUM(L41:L41)</f>
        <v>0</v>
      </c>
    </row>
    <row r="41" spans="1:12" ht="15" customHeight="1">
      <c r="A41" s="202">
        <v>24</v>
      </c>
      <c r="B41" s="209"/>
      <c r="C41" s="208"/>
      <c r="D41" s="272" t="s">
        <v>329</v>
      </c>
      <c r="E41" s="229">
        <v>3132</v>
      </c>
      <c r="F41" s="125">
        <f>211467+208383</f>
        <v>419850</v>
      </c>
      <c r="G41" s="124">
        <f>61402+32193+11665.62+1795+1056+5745+2556+719+5099+3038.38+17880.02+10606.97+8078+11383.06+2964+2316+15801.73+3254+1784+4942.48+12300+5843.67+1736+13443.65+3143+2685+1158+1057+4955.99+2022+10726.15+1910+13615.33+2638+3768+2954+8203+6575.06+913+4832.54+2149+2508.06+856+9943+9005.83+574+8255.61+5864+11488.96+2507+1774+2372.66+10772.31+2813+1510+2458.8+19387.9+2273+1811+7671+1598.22-166872</f>
        <v>249480</v>
      </c>
      <c r="H41" s="124">
        <f>243430+6050</f>
        <v>249480</v>
      </c>
      <c r="I41" s="124">
        <f>SUM(G41-H41)</f>
        <v>0</v>
      </c>
      <c r="J41" s="115">
        <f>166872</f>
        <v>166872</v>
      </c>
      <c r="K41" s="140"/>
      <c r="L41" s="259"/>
    </row>
    <row r="42" spans="1:12" ht="16.5" customHeight="1">
      <c r="A42" s="128"/>
      <c r="B42" s="227"/>
      <c r="C42" s="208"/>
      <c r="D42" s="230" t="s">
        <v>250</v>
      </c>
      <c r="E42" s="229"/>
      <c r="F42" s="141">
        <f>SUM(F43:F44)</f>
        <v>252844</v>
      </c>
      <c r="G42" s="140">
        <f>SUM(G43:G44)</f>
        <v>144338</v>
      </c>
      <c r="H42" s="140">
        <f>SUM(H43:H44)</f>
        <v>144338</v>
      </c>
      <c r="I42" s="124">
        <f>SUM(I43:I44)</f>
        <v>0</v>
      </c>
      <c r="J42" s="121">
        <f>SUM(J43:J44)</f>
        <v>100376</v>
      </c>
      <c r="K42" s="124">
        <f>SUM(K43:K44)</f>
        <v>0</v>
      </c>
      <c r="L42" s="124">
        <f>SUM(L43:L44)</f>
        <v>0</v>
      </c>
    </row>
    <row r="43" spans="1:12" ht="15.75">
      <c r="A43" s="128">
        <v>25</v>
      </c>
      <c r="B43" s="227"/>
      <c r="C43" s="208"/>
      <c r="D43" s="127" t="s">
        <v>328</v>
      </c>
      <c r="E43" s="229">
        <v>3132</v>
      </c>
      <c r="F43" s="226">
        <v>178517</v>
      </c>
      <c r="G43" s="124">
        <f>41400-11383+6400+44800+50200+47100-8130-27176</f>
        <v>143211</v>
      </c>
      <c r="H43" s="124">
        <f>41400+9593+92218</f>
        <v>143211</v>
      </c>
      <c r="I43" s="124">
        <f>SUM(G43-H43)</f>
        <v>0</v>
      </c>
      <c r="J43" s="186">
        <v>27176</v>
      </c>
      <c r="K43" s="124">
        <f>27176-27176</f>
        <v>0</v>
      </c>
      <c r="L43" s="261"/>
    </row>
    <row r="44" spans="1:12" ht="15.75">
      <c r="A44" s="128">
        <v>26</v>
      </c>
      <c r="B44" s="227"/>
      <c r="C44" s="208"/>
      <c r="D44" s="158" t="s">
        <v>327</v>
      </c>
      <c r="E44" s="229">
        <v>2240</v>
      </c>
      <c r="F44" s="125">
        <v>74327</v>
      </c>
      <c r="G44" s="124">
        <f>18156+16200+18100+18400+3471-73200</f>
        <v>1127</v>
      </c>
      <c r="H44" s="124">
        <f>1127</f>
        <v>1127</v>
      </c>
      <c r="I44" s="124">
        <f>SUM(G44-H44)</f>
        <v>0</v>
      </c>
      <c r="J44" s="115">
        <f>73200</f>
        <v>73200</v>
      </c>
      <c r="K44" s="124"/>
      <c r="L44" s="125"/>
    </row>
    <row r="45" spans="1:15" ht="15" customHeight="1">
      <c r="A45" s="80"/>
      <c r="B45" s="209">
        <v>78</v>
      </c>
      <c r="C45" s="216"/>
      <c r="D45" s="225" t="s">
        <v>248</v>
      </c>
      <c r="E45" s="271"/>
      <c r="F45" s="211">
        <f>SUM(F46:F46)</f>
        <v>488236</v>
      </c>
      <c r="G45" s="140">
        <f>SUM(G46:G46)</f>
        <v>250732</v>
      </c>
      <c r="H45" s="140">
        <f>SUM(H46:H46)</f>
        <v>250732</v>
      </c>
      <c r="I45" s="124">
        <f>SUM(I46:I46)</f>
        <v>0</v>
      </c>
      <c r="J45" s="121">
        <f>SUM(J46:J46)</f>
        <v>98605</v>
      </c>
      <c r="K45" s="140">
        <f>SUM(K46:K46)</f>
        <v>0</v>
      </c>
      <c r="L45" s="124">
        <f>SUM(L46:L46)</f>
        <v>102363</v>
      </c>
      <c r="M45" s="153">
        <f>SUM(M46:M46)</f>
        <v>0</v>
      </c>
      <c r="N45" s="153">
        <f>SUM(N46:N46)</f>
        <v>0</v>
      </c>
      <c r="O45" s="153">
        <f>SUM(O46:O46)</f>
        <v>0</v>
      </c>
    </row>
    <row r="46" spans="1:12" ht="15.75">
      <c r="A46" s="202">
        <v>27</v>
      </c>
      <c r="B46" s="209"/>
      <c r="C46" s="208"/>
      <c r="D46" s="155" t="s">
        <v>326</v>
      </c>
      <c r="E46" s="229">
        <v>3132</v>
      </c>
      <c r="F46" s="125">
        <v>488236</v>
      </c>
      <c r="G46" s="124">
        <f>77269+14195+16409+9907+23320.68+16124.32+472+25019+18902+38883+10231+13329+22590+8057+5796+34173+2373+4878+7409-98605</f>
        <v>250732</v>
      </c>
      <c r="H46" s="124">
        <f>250732</f>
        <v>250732</v>
      </c>
      <c r="I46" s="124">
        <f>SUM(G46-H46)</f>
        <v>0</v>
      </c>
      <c r="J46" s="115">
        <f>98605</f>
        <v>98605</v>
      </c>
      <c r="K46" s="124"/>
      <c r="L46" s="125">
        <f>192138-98605+8830</f>
        <v>102363</v>
      </c>
    </row>
    <row r="47" spans="1:12" ht="18" customHeight="1">
      <c r="A47" s="80"/>
      <c r="B47" s="209">
        <v>101</v>
      </c>
      <c r="C47" s="216"/>
      <c r="D47" s="215" t="s">
        <v>241</v>
      </c>
      <c r="E47" s="214"/>
      <c r="F47" s="206">
        <f>SUM(F48:F51)</f>
        <v>494496</v>
      </c>
      <c r="G47" s="205">
        <f>SUM(G48:G51)</f>
        <v>64691</v>
      </c>
      <c r="H47" s="205">
        <f>SUM(H48:H51)</f>
        <v>64691</v>
      </c>
      <c r="I47" s="124">
        <f>SUM(I48:I51)</f>
        <v>0</v>
      </c>
      <c r="J47" s="121">
        <f>SUM(J48:J52)</f>
        <v>386811</v>
      </c>
      <c r="K47" s="140">
        <f>SUM(K48:K51)</f>
        <v>0</v>
      </c>
      <c r="L47" s="140">
        <f>SUM(L48:L51)</f>
        <v>0</v>
      </c>
    </row>
    <row r="48" spans="1:12" ht="15.75">
      <c r="A48" s="128">
        <v>28</v>
      </c>
      <c r="B48" s="209"/>
      <c r="C48" s="208"/>
      <c r="D48" s="127" t="s">
        <v>235</v>
      </c>
      <c r="E48" s="252">
        <v>3132</v>
      </c>
      <c r="F48" s="125">
        <v>33705</v>
      </c>
      <c r="G48" s="124">
        <f>33705-33705</f>
        <v>0</v>
      </c>
      <c r="H48" s="187"/>
      <c r="I48" s="124">
        <f>SUM(G48-H48)</f>
        <v>0</v>
      </c>
      <c r="J48" s="115">
        <f>25012+6490</f>
        <v>31502</v>
      </c>
      <c r="K48" s="124">
        <f>6490-6490</f>
        <v>0</v>
      </c>
      <c r="L48" s="124"/>
    </row>
    <row r="49" spans="1:12" ht="15.75">
      <c r="A49" s="128">
        <v>29</v>
      </c>
      <c r="B49" s="209"/>
      <c r="C49" s="208"/>
      <c r="D49" s="127" t="s">
        <v>325</v>
      </c>
      <c r="E49" s="252">
        <v>2240</v>
      </c>
      <c r="F49" s="125">
        <v>99000</v>
      </c>
      <c r="G49" s="124">
        <f>99000-68693</f>
        <v>30307</v>
      </c>
      <c r="H49" s="187">
        <f>29270+1037</f>
        <v>30307</v>
      </c>
      <c r="I49" s="269">
        <f>SUM(G49-H49)</f>
        <v>0</v>
      </c>
      <c r="J49" s="115">
        <f>42073</f>
        <v>42073</v>
      </c>
      <c r="K49" s="124"/>
      <c r="L49" s="124"/>
    </row>
    <row r="50" spans="1:12" ht="15.75">
      <c r="A50" s="128">
        <v>30</v>
      </c>
      <c r="B50" s="209"/>
      <c r="C50" s="208"/>
      <c r="D50" s="127" t="s">
        <v>324</v>
      </c>
      <c r="E50" s="252">
        <v>2240</v>
      </c>
      <c r="F50" s="125">
        <v>99000</v>
      </c>
      <c r="G50" s="124">
        <f>11956.93+32519.27+45184.69+9339.11-68298</f>
        <v>30702</v>
      </c>
      <c r="H50" s="187">
        <f>29270+1432</f>
        <v>30702</v>
      </c>
      <c r="I50" s="124">
        <f>SUM(G50-H50)</f>
        <v>0</v>
      </c>
      <c r="J50" s="115">
        <f>68298</f>
        <v>68298</v>
      </c>
      <c r="K50" s="124"/>
      <c r="L50" s="124"/>
    </row>
    <row r="51" spans="1:12" ht="15.75">
      <c r="A51" s="128">
        <v>31</v>
      </c>
      <c r="B51" s="209"/>
      <c r="C51" s="208"/>
      <c r="D51" s="127" t="s">
        <v>323</v>
      </c>
      <c r="E51" s="252">
        <v>2240</v>
      </c>
      <c r="F51" s="125">
        <v>262791</v>
      </c>
      <c r="G51" s="124">
        <f>44557.5+49501.64+43428.99+29225+50618-213649.13</f>
        <v>3682</v>
      </c>
      <c r="H51" s="187">
        <f>3682</f>
        <v>3682</v>
      </c>
      <c r="I51" s="269">
        <f>SUM(G51-H51)</f>
        <v>0</v>
      </c>
      <c r="J51" s="186">
        <f>240068</f>
        <v>240068</v>
      </c>
      <c r="K51" s="124"/>
      <c r="L51" s="124"/>
    </row>
    <row r="52" spans="1:12" ht="15.75">
      <c r="A52" s="128">
        <v>32</v>
      </c>
      <c r="B52" s="209"/>
      <c r="C52" s="208"/>
      <c r="D52" s="127" t="s">
        <v>322</v>
      </c>
      <c r="E52" s="252">
        <v>3132</v>
      </c>
      <c r="F52" s="125">
        <v>99000</v>
      </c>
      <c r="G52" s="124">
        <v>94130</v>
      </c>
      <c r="H52" s="187">
        <v>94130</v>
      </c>
      <c r="I52" s="269">
        <v>0</v>
      </c>
      <c r="J52" s="186">
        <v>4870</v>
      </c>
      <c r="K52" s="138"/>
      <c r="L52" s="124"/>
    </row>
    <row r="53" spans="1:12" ht="17.25" customHeight="1">
      <c r="A53" s="128"/>
      <c r="B53" s="209"/>
      <c r="C53" s="208"/>
      <c r="D53" s="154" t="s">
        <v>231</v>
      </c>
      <c r="E53" s="252"/>
      <c r="F53" s="141">
        <f>SUM(F54:F54)</f>
        <v>70000</v>
      </c>
      <c r="G53" s="140">
        <f>SUM(G54:G54)</f>
        <v>37902</v>
      </c>
      <c r="H53" s="140">
        <f>SUM(H54:H54)</f>
        <v>37902</v>
      </c>
      <c r="I53" s="124">
        <f>SUM(I54:I54)</f>
        <v>0</v>
      </c>
      <c r="J53" s="121">
        <f>SUM(J54:J55)</f>
        <v>106018</v>
      </c>
      <c r="K53" s="140">
        <f>SUM(K54:K54)</f>
        <v>0</v>
      </c>
      <c r="L53" s="140">
        <f>SUM(L54:L54)</f>
        <v>0</v>
      </c>
    </row>
    <row r="54" spans="1:12" ht="15.75" customHeight="1">
      <c r="A54" s="128">
        <v>33</v>
      </c>
      <c r="B54" s="209"/>
      <c r="C54" s="208"/>
      <c r="D54" s="270" t="s">
        <v>321</v>
      </c>
      <c r="E54" s="252">
        <v>2240</v>
      </c>
      <c r="F54" s="125">
        <v>70000</v>
      </c>
      <c r="G54" s="124">
        <f>4408.93+2973+2036+3654.86+1417+1693+3874-8978+1175+1052+586+3215+517+1398+5628+1138+9552.08+1279+740+1436+2087+2794+487+889+1841+2553+554+1576+750+1236+1253+527+646+5237+2504+6271.13-32098</f>
        <v>37902</v>
      </c>
      <c r="H54" s="187">
        <f>36618+1284</f>
        <v>37902</v>
      </c>
      <c r="I54" s="124">
        <f>SUM(G54-H54)</f>
        <v>0</v>
      </c>
      <c r="J54" s="115">
        <f>32098</f>
        <v>32098</v>
      </c>
      <c r="K54" s="124"/>
      <c r="L54" s="125"/>
    </row>
    <row r="55" spans="1:12" ht="12.75" customHeight="1">
      <c r="A55" s="128">
        <v>34</v>
      </c>
      <c r="B55" s="209"/>
      <c r="C55" s="208"/>
      <c r="D55" s="127" t="s">
        <v>320</v>
      </c>
      <c r="E55" s="252">
        <v>2240</v>
      </c>
      <c r="F55" s="125">
        <v>273500</v>
      </c>
      <c r="G55" s="124">
        <v>67857</v>
      </c>
      <c r="H55" s="187">
        <v>67857</v>
      </c>
      <c r="I55" s="269">
        <v>0</v>
      </c>
      <c r="J55" s="186">
        <v>73920</v>
      </c>
      <c r="K55" s="138"/>
      <c r="L55" s="125"/>
    </row>
    <row r="56" spans="1:12" ht="15.75" customHeight="1">
      <c r="A56" s="80"/>
      <c r="B56" s="209">
        <v>138</v>
      </c>
      <c r="C56" s="208"/>
      <c r="D56" s="207" t="s">
        <v>227</v>
      </c>
      <c r="E56" s="214"/>
      <c r="F56" s="206">
        <f>SUM(F57:F61)</f>
        <v>1048300</v>
      </c>
      <c r="G56" s="205">
        <f>SUM(G57:G61)</f>
        <v>473968.26999999996</v>
      </c>
      <c r="H56" s="205">
        <f>SUM(H57:H61)</f>
        <v>473968.27</v>
      </c>
      <c r="I56" s="124">
        <f>SUM(I57:I61)</f>
        <v>-7.003109203651547E-11</v>
      </c>
      <c r="J56" s="121">
        <f>SUM(J57:J61)</f>
        <v>573652.73</v>
      </c>
      <c r="K56" s="124">
        <f>SUM(K57:K61)</f>
        <v>0</v>
      </c>
      <c r="L56" s="124">
        <f>SUM(L57:L61)</f>
        <v>0</v>
      </c>
    </row>
    <row r="57" spans="1:12" ht="15.75">
      <c r="A57" s="202">
        <v>35</v>
      </c>
      <c r="B57" s="72"/>
      <c r="C57" s="72"/>
      <c r="D57" s="127" t="s">
        <v>319</v>
      </c>
      <c r="E57" s="252">
        <v>3132</v>
      </c>
      <c r="F57" s="263">
        <v>335900</v>
      </c>
      <c r="G57" s="201">
        <f>123000+119142+14500+11400+24900+41200+1079-328087.2</f>
        <v>7133.799999999988</v>
      </c>
      <c r="H57" s="201">
        <f>7133.8</f>
        <v>7133.8</v>
      </c>
      <c r="I57" s="124">
        <f>SUM(G57-H57)</f>
        <v>-1.1823431123048067E-11</v>
      </c>
      <c r="J57" s="186">
        <f>310047.2+18040</f>
        <v>328087.2</v>
      </c>
      <c r="K57" s="187">
        <f>18040-18040</f>
        <v>0</v>
      </c>
      <c r="L57" s="187"/>
    </row>
    <row r="58" spans="1:12" ht="15.75">
      <c r="A58" s="202">
        <v>36</v>
      </c>
      <c r="B58" s="72"/>
      <c r="C58" s="72"/>
      <c r="D58" s="127" t="s">
        <v>318</v>
      </c>
      <c r="E58" s="252">
        <v>3132</v>
      </c>
      <c r="F58" s="188">
        <v>618400</v>
      </c>
      <c r="G58" s="201">
        <f>184300+12700+93000+28100+42000+60300+6000+33421+700+13100+19800+22300+35000+46400+3900+17379-154991.53</f>
        <v>463408.47</v>
      </c>
      <c r="H58" s="201">
        <f>182655+142928+97379.7+9550+30895.77</f>
        <v>463408.47000000003</v>
      </c>
      <c r="I58" s="124">
        <f>SUM(G58-H58)</f>
        <v>-5.820766091346741E-11</v>
      </c>
      <c r="J58" s="115">
        <f>50658.3-30895.77+135229</f>
        <v>154991.53</v>
      </c>
      <c r="K58" s="124"/>
      <c r="L58" s="187"/>
    </row>
    <row r="59" spans="1:12" ht="15.75">
      <c r="A59" s="202">
        <v>37</v>
      </c>
      <c r="B59" s="72"/>
      <c r="C59" s="72"/>
      <c r="D59" s="127" t="s">
        <v>317</v>
      </c>
      <c r="E59" s="252">
        <v>3132</v>
      </c>
      <c r="F59" s="188">
        <v>14300</v>
      </c>
      <c r="G59" s="201">
        <f>14300-11474</f>
        <v>2826</v>
      </c>
      <c r="H59" s="201">
        <f>2826</f>
        <v>2826</v>
      </c>
      <c r="I59" s="124">
        <f>SUM(G59-H59)</f>
        <v>0</v>
      </c>
      <c r="J59" s="115">
        <f>900+10574</f>
        <v>11474</v>
      </c>
      <c r="K59" s="124"/>
      <c r="L59" s="205"/>
    </row>
    <row r="60" spans="1:12" ht="15.75">
      <c r="A60" s="202">
        <v>38</v>
      </c>
      <c r="B60" s="72"/>
      <c r="C60" s="72"/>
      <c r="D60" s="127" t="s">
        <v>316</v>
      </c>
      <c r="E60" s="252">
        <v>2240</v>
      </c>
      <c r="F60" s="188">
        <v>36200</v>
      </c>
      <c r="G60" s="201">
        <f>19376+8100+8724-35600</f>
        <v>600</v>
      </c>
      <c r="H60" s="201">
        <f>600</f>
        <v>600</v>
      </c>
      <c r="I60" s="124">
        <f>SUM(G60-H60)</f>
        <v>0</v>
      </c>
      <c r="J60" s="115">
        <f>35600</f>
        <v>35600</v>
      </c>
      <c r="K60" s="124"/>
      <c r="L60" s="187"/>
    </row>
    <row r="61" spans="1:12" ht="15.75">
      <c r="A61" s="202">
        <v>39</v>
      </c>
      <c r="B61" s="72"/>
      <c r="C61" s="72"/>
      <c r="D61" s="127" t="s">
        <v>315</v>
      </c>
      <c r="E61" s="252">
        <v>2240</v>
      </c>
      <c r="F61" s="188">
        <v>43500</v>
      </c>
      <c r="G61" s="201">
        <f>16700+1500+19800+4500+1000-43500</f>
        <v>0</v>
      </c>
      <c r="H61" s="204"/>
      <c r="I61" s="124">
        <f>SUM(G61-H61)</f>
        <v>0</v>
      </c>
      <c r="J61" s="115">
        <v>43500</v>
      </c>
      <c r="K61" s="140"/>
      <c r="L61" s="187"/>
    </row>
    <row r="62" spans="1:12" ht="16.5" customHeight="1">
      <c r="A62" s="135"/>
      <c r="D62" s="154" t="s">
        <v>221</v>
      </c>
      <c r="E62" s="252"/>
      <c r="F62" s="198">
        <f>SUM(F63:F78)</f>
        <v>2215848</v>
      </c>
      <c r="G62" s="268">
        <f>SUM(G63:G78)</f>
        <v>432286.99999999994</v>
      </c>
      <c r="H62" s="268">
        <f>SUM(H63:H78)</f>
        <v>432287</v>
      </c>
      <c r="I62" s="124">
        <f>SUM(I63:I78)</f>
        <v>-7.275957614183426E-11</v>
      </c>
      <c r="J62" s="121">
        <f>SUM(J63:J78)</f>
        <v>1594948</v>
      </c>
      <c r="K62" s="140">
        <f>SUM(K63:K78)</f>
        <v>0</v>
      </c>
      <c r="L62" s="140">
        <f>SUM(L63:L78)</f>
        <v>0</v>
      </c>
    </row>
    <row r="63" spans="1:12" ht="15.75">
      <c r="A63" s="135">
        <v>40</v>
      </c>
      <c r="D63" s="127" t="s">
        <v>314</v>
      </c>
      <c r="E63" s="252">
        <v>3132</v>
      </c>
      <c r="F63" s="267">
        <f>96080-10+10</f>
        <v>96080</v>
      </c>
      <c r="G63" s="131">
        <f>41694.63+1046.67+12068.27+6006.65+28770.54+2493.24-63268</f>
        <v>28812</v>
      </c>
      <c r="H63" s="131">
        <f>27114+1698</f>
        <v>28812</v>
      </c>
      <c r="I63" s="124">
        <f>SUM(G63-H63)</f>
        <v>0</v>
      </c>
      <c r="J63" s="130">
        <f>58748+4520</f>
        <v>63268</v>
      </c>
      <c r="K63" s="131">
        <f>4520-4520</f>
        <v>0</v>
      </c>
      <c r="L63" s="174"/>
    </row>
    <row r="64" spans="1:12" ht="15.75">
      <c r="A64" s="135">
        <v>41</v>
      </c>
      <c r="D64" s="127" t="s">
        <v>313</v>
      </c>
      <c r="E64" s="252">
        <v>3132</v>
      </c>
      <c r="F64" s="267">
        <v>250000</v>
      </c>
      <c r="G64" s="131">
        <f>87066.64+36388.11+8811.9+44163.35-173380</f>
        <v>3050</v>
      </c>
      <c r="H64" s="131">
        <f>3050</f>
        <v>3050</v>
      </c>
      <c r="I64" s="124">
        <f>SUM(G64-H64)</f>
        <v>0</v>
      </c>
      <c r="J64" s="130">
        <f>173380</f>
        <v>173380</v>
      </c>
      <c r="K64" s="174"/>
      <c r="L64" s="131"/>
    </row>
    <row r="65" spans="1:12" ht="15.75">
      <c r="A65" s="135">
        <v>42</v>
      </c>
      <c r="D65" s="127" t="s">
        <v>312</v>
      </c>
      <c r="E65" s="252">
        <v>3132</v>
      </c>
      <c r="F65" s="267">
        <v>100000</v>
      </c>
      <c r="G65" s="131">
        <f>72871.61+24348.39-95540</f>
        <v>1680</v>
      </c>
      <c r="H65" s="131">
        <f>1680</f>
        <v>1680</v>
      </c>
      <c r="I65" s="124">
        <f>SUM(G65-H65)</f>
        <v>0</v>
      </c>
      <c r="J65" s="130">
        <f>90763+4777</f>
        <v>95540</v>
      </c>
      <c r="K65" s="131">
        <f>4777-4777</f>
        <v>0</v>
      </c>
      <c r="L65" s="131"/>
    </row>
    <row r="66" spans="1:12" ht="15.75">
      <c r="A66" s="135">
        <v>43</v>
      </c>
      <c r="D66" s="127" t="s">
        <v>311</v>
      </c>
      <c r="E66" s="252">
        <v>3132</v>
      </c>
      <c r="F66" s="267">
        <v>200000</v>
      </c>
      <c r="G66" s="131">
        <f>11940.68+10343.17+8443.22+34173.71+52672.03+527.19-116060</f>
        <v>2040</v>
      </c>
      <c r="H66" s="131">
        <f>2040</f>
        <v>2040</v>
      </c>
      <c r="I66" s="124">
        <f>SUM(G66-H66)</f>
        <v>0</v>
      </c>
      <c r="J66" s="130">
        <f>116060</f>
        <v>116060</v>
      </c>
      <c r="K66" s="174"/>
      <c r="L66" s="131"/>
    </row>
    <row r="67" spans="1:12" ht="15.75">
      <c r="A67" s="135">
        <v>44</v>
      </c>
      <c r="D67" s="127" t="s">
        <v>310</v>
      </c>
      <c r="E67" s="266">
        <v>3132</v>
      </c>
      <c r="F67" s="264">
        <f>263334+10-10</f>
        <v>263334</v>
      </c>
      <c r="G67" s="131">
        <f>79553.3+6614.42+33743.46+12899.69+126379.13-178288</f>
        <v>80902</v>
      </c>
      <c r="H67" s="149">
        <f>76408+4494</f>
        <v>80902</v>
      </c>
      <c r="I67" s="124">
        <f>SUM(G67-H67)</f>
        <v>0</v>
      </c>
      <c r="J67" s="130">
        <f>165553+12735</f>
        <v>178288</v>
      </c>
      <c r="K67" s="131">
        <f>12735-12735</f>
        <v>0</v>
      </c>
      <c r="L67" s="265"/>
    </row>
    <row r="68" spans="1:12" ht="15.75">
      <c r="A68" s="135">
        <v>45</v>
      </c>
      <c r="D68" s="127" t="s">
        <v>309</v>
      </c>
      <c r="E68" s="266">
        <v>3132</v>
      </c>
      <c r="F68" s="132">
        <v>41379</v>
      </c>
      <c r="G68" s="131">
        <f>41379-40700</f>
        <v>679</v>
      </c>
      <c r="H68" s="149">
        <f>679</f>
        <v>679</v>
      </c>
      <c r="I68" s="124">
        <f>SUM(G68-H68)</f>
        <v>0</v>
      </c>
      <c r="J68" s="130">
        <f>38665+2035</f>
        <v>40700</v>
      </c>
      <c r="K68" s="131">
        <f>2035-2035</f>
        <v>0</v>
      </c>
      <c r="L68" s="201"/>
    </row>
    <row r="69" spans="1:12" ht="15.75">
      <c r="A69" s="194">
        <v>46</v>
      </c>
      <c r="D69" s="127" t="s">
        <v>308</v>
      </c>
      <c r="E69" s="266">
        <v>3132</v>
      </c>
      <c r="F69" s="258">
        <v>299000</v>
      </c>
      <c r="G69" s="163">
        <f>149032.98+135667.02+8647-201796</f>
        <v>91551</v>
      </c>
      <c r="H69" s="171">
        <f>86481+5070</f>
        <v>91551</v>
      </c>
      <c r="I69" s="124">
        <f>SUM(G69-H69)</f>
        <v>0</v>
      </c>
      <c r="J69" s="161">
        <f>187382+14414</f>
        <v>201796</v>
      </c>
      <c r="K69" s="163">
        <f>14414-14414</f>
        <v>0</v>
      </c>
      <c r="L69" s="163"/>
    </row>
    <row r="70" spans="1:12" ht="15.75">
      <c r="A70" s="135">
        <v>47</v>
      </c>
      <c r="D70" s="127" t="s">
        <v>208</v>
      </c>
      <c r="E70" s="266">
        <v>3132</v>
      </c>
      <c r="F70" s="132">
        <v>16200</v>
      </c>
      <c r="G70" s="131">
        <f>16200-16200</f>
        <v>0</v>
      </c>
      <c r="H70" s="149"/>
      <c r="I70" s="124">
        <f>SUM(G70-H70)</f>
        <v>0</v>
      </c>
      <c r="J70" s="130">
        <v>16200</v>
      </c>
      <c r="K70" s="131"/>
      <c r="L70" s="131"/>
    </row>
    <row r="71" spans="1:12" ht="15.75">
      <c r="A71" s="135">
        <v>48</v>
      </c>
      <c r="D71" s="127" t="s">
        <v>307</v>
      </c>
      <c r="E71" s="266">
        <v>3132</v>
      </c>
      <c r="F71" s="264">
        <v>200000</v>
      </c>
      <c r="G71" s="131">
        <f>27576+30000+16480.39+41366.27+18773.39+61104.95-134344</f>
        <v>60957</v>
      </c>
      <c r="H71" s="149">
        <f>57576+3381</f>
        <v>60957</v>
      </c>
      <c r="I71" s="124">
        <f>SUM(G71-H71)</f>
        <v>0</v>
      </c>
      <c r="J71" s="130">
        <f>124748+9596</f>
        <v>134344</v>
      </c>
      <c r="K71" s="131">
        <f>9596-9596</f>
        <v>0</v>
      </c>
      <c r="L71" s="265"/>
    </row>
    <row r="72" spans="1:12" ht="15.75">
      <c r="A72" s="135">
        <v>49</v>
      </c>
      <c r="D72" s="127" t="s">
        <v>306</v>
      </c>
      <c r="E72" s="252">
        <v>3132</v>
      </c>
      <c r="F72" s="264">
        <v>300000</v>
      </c>
      <c r="G72" s="131">
        <f>20694.7+86140.5+3445.66+33030+67937.02+3429.31+55204.42+7930.72+1994.12+6952.92+5840.63-201517</f>
        <v>91082.99999999994</v>
      </c>
      <c r="H72" s="149">
        <f>86364+4719</f>
        <v>91083</v>
      </c>
      <c r="I72" s="124">
        <f>SUM(G72-H72)</f>
        <v>-5.820766091346741E-11</v>
      </c>
      <c r="J72" s="130">
        <f>187122+14395</f>
        <v>201517</v>
      </c>
      <c r="K72" s="131">
        <f>14395-14395</f>
        <v>0</v>
      </c>
      <c r="L72" s="131"/>
    </row>
    <row r="73" spans="1:12" ht="15.75">
      <c r="A73" s="135">
        <v>50</v>
      </c>
      <c r="D73" s="127" t="s">
        <v>305</v>
      </c>
      <c r="E73" s="252">
        <v>3132</v>
      </c>
      <c r="F73" s="132">
        <v>94713</v>
      </c>
      <c r="G73" s="131">
        <f>29630.92+17546+16571.07+30965.01-65170</f>
        <v>29543</v>
      </c>
      <c r="H73" s="149">
        <f>27930+1613</f>
        <v>29543</v>
      </c>
      <c r="I73" s="124">
        <f>SUM(G73-H73)</f>
        <v>0</v>
      </c>
      <c r="J73" s="130">
        <f>246+64924</f>
        <v>65170</v>
      </c>
      <c r="K73" s="131"/>
      <c r="L73" s="131"/>
    </row>
    <row r="74" spans="1:12" ht="15.75">
      <c r="A74" s="135">
        <v>51</v>
      </c>
      <c r="D74" s="127" t="s">
        <v>304</v>
      </c>
      <c r="E74" s="252">
        <v>3132</v>
      </c>
      <c r="F74" s="264">
        <v>125000</v>
      </c>
      <c r="G74" s="131">
        <f>41010.44+25605.75+13804.48+40112.33-82915</f>
        <v>37618</v>
      </c>
      <c r="H74" s="149">
        <f>35535+2083</f>
        <v>37618</v>
      </c>
      <c r="I74" s="124">
        <f>SUM(G74-H74)</f>
        <v>0</v>
      </c>
      <c r="J74" s="130">
        <f>403+82512</f>
        <v>82915</v>
      </c>
      <c r="K74" s="131"/>
      <c r="L74" s="131"/>
    </row>
    <row r="75" spans="1:12" ht="15.75">
      <c r="A75" s="135">
        <v>52</v>
      </c>
      <c r="D75" s="127" t="s">
        <v>303</v>
      </c>
      <c r="E75" s="252">
        <v>2240</v>
      </c>
      <c r="F75" s="132">
        <v>87124</v>
      </c>
      <c r="G75" s="131">
        <f>149.62+19928.67-19472+4356.51+27119.37-16117.06+8116.96+8444.4+19838.1+10063.12+3048.88-5.9+19682.24+1971.09-85864</f>
        <v>1260</v>
      </c>
      <c r="H75" s="149">
        <f>1260</f>
        <v>1260</v>
      </c>
      <c r="I75" s="124">
        <f>SUM(G75-H75)</f>
        <v>0</v>
      </c>
      <c r="J75" s="130">
        <f>85864</f>
        <v>85864</v>
      </c>
      <c r="K75" s="131"/>
      <c r="L75" s="131"/>
    </row>
    <row r="76" spans="1:12" ht="15.75">
      <c r="A76" s="135">
        <v>53</v>
      </c>
      <c r="D76" s="127" t="s">
        <v>302</v>
      </c>
      <c r="E76" s="252">
        <v>2240</v>
      </c>
      <c r="F76" s="132">
        <v>92519</v>
      </c>
      <c r="G76" s="131">
        <f>25012.64+16117.06+4132.36+45631.24+1625.7-91180</f>
        <v>1338.9999999999854</v>
      </c>
      <c r="H76" s="149">
        <f>1339</f>
        <v>1339</v>
      </c>
      <c r="I76" s="124">
        <f>SUM(G76-H76)</f>
        <v>-1.4551915228366852E-11</v>
      </c>
      <c r="J76" s="130">
        <f>91180</f>
        <v>91180</v>
      </c>
      <c r="K76" s="131"/>
      <c r="L76" s="131"/>
    </row>
    <row r="77" spans="1:12" ht="15.75">
      <c r="A77" s="135">
        <v>54</v>
      </c>
      <c r="D77" s="127" t="s">
        <v>205</v>
      </c>
      <c r="E77" s="252">
        <v>2240</v>
      </c>
      <c r="F77" s="132">
        <v>27248</v>
      </c>
      <c r="G77" s="131">
        <f>1238.03+26009.97-9284.79+9245.22+33.67+5.9-26854</f>
        <v>394</v>
      </c>
      <c r="H77" s="149">
        <f>394</f>
        <v>394</v>
      </c>
      <c r="I77" s="124">
        <f>SUM(G77-H77)</f>
        <v>0</v>
      </c>
      <c r="J77" s="130">
        <f>26854</f>
        <v>26854</v>
      </c>
      <c r="K77" s="131"/>
      <c r="L77" s="131"/>
    </row>
    <row r="78" spans="1:12" ht="15.75">
      <c r="A78" s="135">
        <v>55</v>
      </c>
      <c r="D78" s="127" t="s">
        <v>203</v>
      </c>
      <c r="E78" s="252">
        <v>2240</v>
      </c>
      <c r="F78" s="132">
        <v>23251</v>
      </c>
      <c r="G78" s="131">
        <f>19385.21-5398+0.09+1968.2+30+4984.58+2280.92-21872</f>
        <v>1379</v>
      </c>
      <c r="H78" s="149">
        <f>1379</f>
        <v>1379</v>
      </c>
      <c r="I78" s="124">
        <f>SUM(G78-H78)</f>
        <v>0</v>
      </c>
      <c r="J78" s="130">
        <f>21872</f>
        <v>21872</v>
      </c>
      <c r="K78" s="131"/>
      <c r="L78" s="131"/>
    </row>
    <row r="79" spans="1:12" ht="15" customHeight="1">
      <c r="A79" s="191"/>
      <c r="D79" s="176" t="s">
        <v>201</v>
      </c>
      <c r="E79" s="252"/>
      <c r="F79" s="175">
        <f>SUM(F80:F93)</f>
        <v>400680</v>
      </c>
      <c r="G79" s="174">
        <f>SUM(G80:G93)</f>
        <v>11847.999999999996</v>
      </c>
      <c r="H79" s="174">
        <f>SUM(H80:H93)</f>
        <v>11848</v>
      </c>
      <c r="I79" s="174">
        <f>SUM(I80:I93)</f>
        <v>-3.637978807091713E-12</v>
      </c>
      <c r="J79" s="121">
        <f>SUM(J80:J93)</f>
        <v>283093</v>
      </c>
      <c r="K79" s="140">
        <f>SUM(K80:K93)</f>
        <v>0</v>
      </c>
      <c r="L79" s="140">
        <f>SUM(L80:L93)</f>
        <v>0</v>
      </c>
    </row>
    <row r="80" spans="1:12" ht="15.75">
      <c r="A80" s="190">
        <v>56</v>
      </c>
      <c r="D80" s="262" t="s">
        <v>301</v>
      </c>
      <c r="E80" s="252">
        <v>3132</v>
      </c>
      <c r="F80" s="132">
        <v>18705</v>
      </c>
      <c r="G80" s="131">
        <f>4009.53+4310.47-8320</f>
        <v>0</v>
      </c>
      <c r="H80" s="174"/>
      <c r="I80" s="124">
        <f>SUM(G80-H80)</f>
        <v>0</v>
      </c>
      <c r="J80" s="115">
        <v>8320</v>
      </c>
      <c r="K80" s="174"/>
      <c r="L80" s="131"/>
    </row>
    <row r="81" spans="1:12" ht="15.75">
      <c r="A81" s="190">
        <v>57</v>
      </c>
      <c r="D81" s="262" t="s">
        <v>300</v>
      </c>
      <c r="E81" s="252">
        <v>3132</v>
      </c>
      <c r="F81" s="132">
        <v>58162</v>
      </c>
      <c r="G81" s="131">
        <f>43200-42440</f>
        <v>760</v>
      </c>
      <c r="H81" s="131">
        <f>760</f>
        <v>760</v>
      </c>
      <c r="I81" s="124">
        <f>SUM(G81-H81)</f>
        <v>0</v>
      </c>
      <c r="J81" s="115">
        <f>42440</f>
        <v>42440</v>
      </c>
      <c r="K81" s="174"/>
      <c r="L81" s="131"/>
    </row>
    <row r="82" spans="1:12" ht="15.75">
      <c r="A82" s="156">
        <v>58</v>
      </c>
      <c r="D82" s="262" t="s">
        <v>299</v>
      </c>
      <c r="E82" s="252">
        <v>3132</v>
      </c>
      <c r="F82" s="263">
        <v>33007</v>
      </c>
      <c r="G82" s="187">
        <f>21200-21200</f>
        <v>0</v>
      </c>
      <c r="H82" s="149"/>
      <c r="I82" s="124">
        <f>SUM(G82-H82)</f>
        <v>0</v>
      </c>
      <c r="J82" s="186">
        <v>21200</v>
      </c>
      <c r="K82" s="187"/>
      <c r="L82" s="124"/>
    </row>
    <row r="83" spans="1:12" ht="15.75">
      <c r="A83" s="156">
        <v>59</v>
      </c>
      <c r="D83" s="262" t="s">
        <v>298</v>
      </c>
      <c r="E83" s="252">
        <v>3132</v>
      </c>
      <c r="F83" s="263">
        <v>50226</v>
      </c>
      <c r="G83" s="187">
        <f>31494-30950</f>
        <v>544</v>
      </c>
      <c r="H83" s="95">
        <f>544</f>
        <v>544</v>
      </c>
      <c r="I83" s="124">
        <f>SUM(G83-H83)</f>
        <v>0</v>
      </c>
      <c r="J83" s="186">
        <f>30950</f>
        <v>30950</v>
      </c>
      <c r="K83" s="187"/>
      <c r="L83" s="261"/>
    </row>
    <row r="84" spans="1:12" ht="15.75">
      <c r="A84" s="156">
        <v>60</v>
      </c>
      <c r="D84" s="262" t="s">
        <v>297</v>
      </c>
      <c r="E84" s="252">
        <v>3132</v>
      </c>
      <c r="F84" s="125">
        <v>38113</v>
      </c>
      <c r="G84" s="124">
        <f>1358.12+1002+17044.88-19080</f>
        <v>325</v>
      </c>
      <c r="H84" s="149">
        <f>325</f>
        <v>325</v>
      </c>
      <c r="I84" s="124">
        <f>SUM(G84-H84)</f>
        <v>0</v>
      </c>
      <c r="J84" s="115">
        <f>19080</f>
        <v>19080</v>
      </c>
      <c r="K84" s="124"/>
      <c r="L84" s="261"/>
    </row>
    <row r="85" spans="1:12" ht="15.75">
      <c r="A85" s="156">
        <v>61</v>
      </c>
      <c r="D85" s="262" t="s">
        <v>296</v>
      </c>
      <c r="E85" s="252">
        <v>3132</v>
      </c>
      <c r="F85" s="263">
        <v>40046</v>
      </c>
      <c r="G85" s="187">
        <f>11933+10385+2382-24700</f>
        <v>0</v>
      </c>
      <c r="H85" s="149"/>
      <c r="I85" s="124">
        <f>SUM(G85-H85)</f>
        <v>0</v>
      </c>
      <c r="J85" s="186">
        <v>24700</v>
      </c>
      <c r="K85" s="187"/>
      <c r="L85" s="124"/>
    </row>
    <row r="86" spans="1:12" ht="15.75">
      <c r="A86" s="156">
        <v>62</v>
      </c>
      <c r="D86" s="262" t="s">
        <v>295</v>
      </c>
      <c r="E86" s="252">
        <v>3132</v>
      </c>
      <c r="F86" s="125">
        <v>54548</v>
      </c>
      <c r="G86" s="124">
        <f>38749-38100</f>
        <v>649</v>
      </c>
      <c r="H86" s="149">
        <f>649</f>
        <v>649</v>
      </c>
      <c r="I86" s="124">
        <f>SUM(G86-H86)</f>
        <v>0</v>
      </c>
      <c r="J86" s="115">
        <f>38100</f>
        <v>38100</v>
      </c>
      <c r="K86" s="124"/>
      <c r="L86" s="124"/>
    </row>
    <row r="87" spans="1:12" ht="15.75">
      <c r="A87" s="156">
        <v>63</v>
      </c>
      <c r="D87" s="262" t="s">
        <v>294</v>
      </c>
      <c r="E87" s="252">
        <v>2240</v>
      </c>
      <c r="F87" s="125">
        <v>8802</v>
      </c>
      <c r="G87" s="124">
        <f>8802-8680</f>
        <v>122</v>
      </c>
      <c r="H87" s="149">
        <f>122</f>
        <v>122</v>
      </c>
      <c r="I87" s="124">
        <f>SUM(G87-H87)</f>
        <v>0</v>
      </c>
      <c r="J87" s="115">
        <f>8680</f>
        <v>8680</v>
      </c>
      <c r="K87" s="124"/>
      <c r="L87" s="124"/>
    </row>
    <row r="88" spans="1:12" ht="15.75">
      <c r="A88" s="156">
        <v>64</v>
      </c>
      <c r="D88" s="262" t="s">
        <v>293</v>
      </c>
      <c r="E88" s="252">
        <v>2240</v>
      </c>
      <c r="F88" s="125">
        <v>11957</v>
      </c>
      <c r="G88" s="124">
        <f>11957-11790</f>
        <v>167</v>
      </c>
      <c r="H88" s="149">
        <f>167</f>
        <v>167</v>
      </c>
      <c r="I88" s="124">
        <f>SUM(G88-H88)</f>
        <v>0</v>
      </c>
      <c r="J88" s="115">
        <f>11790</f>
        <v>11790</v>
      </c>
      <c r="K88" s="124"/>
      <c r="L88" s="124"/>
    </row>
    <row r="89" spans="1:12" ht="15.75">
      <c r="A89" s="156">
        <v>65</v>
      </c>
      <c r="D89" s="262" t="s">
        <v>292</v>
      </c>
      <c r="E89" s="252">
        <v>2240</v>
      </c>
      <c r="F89" s="125">
        <v>27370</v>
      </c>
      <c r="G89" s="124">
        <f>8091+19279-5584+5262.49+321.51-18879</f>
        <v>8490.999999999996</v>
      </c>
      <c r="H89" s="131">
        <f>8091+400</f>
        <v>8491</v>
      </c>
      <c r="I89" s="187">
        <f>SUM(G89-H89)</f>
        <v>-3.637978807091713E-12</v>
      </c>
      <c r="J89" s="115">
        <f>18879</f>
        <v>18879</v>
      </c>
      <c r="K89" s="124"/>
      <c r="L89" s="259"/>
    </row>
    <row r="90" spans="1:12" ht="15.75">
      <c r="A90" s="156">
        <v>66</v>
      </c>
      <c r="D90" s="262" t="s">
        <v>291</v>
      </c>
      <c r="E90" s="252">
        <v>2240</v>
      </c>
      <c r="F90" s="125">
        <v>17379</v>
      </c>
      <c r="G90" s="124">
        <f>17379-17120</f>
        <v>259</v>
      </c>
      <c r="H90" s="149">
        <f>259</f>
        <v>259</v>
      </c>
      <c r="I90" s="124">
        <f>SUM(G90-H90)</f>
        <v>0</v>
      </c>
      <c r="J90" s="115">
        <f>17120</f>
        <v>17120</v>
      </c>
      <c r="K90" s="124"/>
      <c r="L90" s="124"/>
    </row>
    <row r="91" spans="1:12" ht="18.75" customHeight="1">
      <c r="A91" s="156">
        <v>67</v>
      </c>
      <c r="D91" s="262" t="s">
        <v>290</v>
      </c>
      <c r="E91" s="252">
        <v>2240</v>
      </c>
      <c r="F91" s="125">
        <v>17936</v>
      </c>
      <c r="G91" s="124">
        <f>17936-17680</f>
        <v>256</v>
      </c>
      <c r="H91" s="149">
        <f>256</f>
        <v>256</v>
      </c>
      <c r="I91" s="124">
        <f>SUM(G91-H91)</f>
        <v>0</v>
      </c>
      <c r="J91" s="115">
        <f>17680</f>
        <v>17680</v>
      </c>
      <c r="K91" s="124"/>
      <c r="L91" s="124"/>
    </row>
    <row r="92" spans="1:12" ht="15.75">
      <c r="A92" s="156">
        <v>68</v>
      </c>
      <c r="D92" s="262" t="s">
        <v>289</v>
      </c>
      <c r="E92" s="252">
        <v>2240</v>
      </c>
      <c r="F92" s="125">
        <v>18845</v>
      </c>
      <c r="G92" s="124">
        <f>18845-18570</f>
        <v>275</v>
      </c>
      <c r="H92" s="149">
        <f>275</f>
        <v>275</v>
      </c>
      <c r="I92" s="124">
        <f>SUM(G92-H92)</f>
        <v>0</v>
      </c>
      <c r="J92" s="115">
        <v>18570</v>
      </c>
      <c r="K92" s="124"/>
      <c r="L92" s="124"/>
    </row>
    <row r="93" spans="1:12" ht="30">
      <c r="A93" s="156">
        <v>69</v>
      </c>
      <c r="D93" s="262" t="s">
        <v>288</v>
      </c>
      <c r="E93" s="252">
        <v>2240</v>
      </c>
      <c r="F93" s="125">
        <v>5584</v>
      </c>
      <c r="G93" s="124">
        <f>5584-5584</f>
        <v>0</v>
      </c>
      <c r="H93" s="149"/>
      <c r="I93" s="124">
        <f>SUM(G93-H93)</f>
        <v>0</v>
      </c>
      <c r="J93" s="186">
        <v>5584</v>
      </c>
      <c r="K93" s="124"/>
      <c r="L93" s="261"/>
    </row>
    <row r="94" spans="1:12" ht="15" customHeight="1">
      <c r="A94" s="156"/>
      <c r="D94" s="176" t="s">
        <v>189</v>
      </c>
      <c r="E94" s="252"/>
      <c r="F94" s="175">
        <f>SUM(F95:F106)</f>
        <v>713919</v>
      </c>
      <c r="G94" s="174">
        <f>SUM(G95:G106)</f>
        <v>479090</v>
      </c>
      <c r="H94" s="174">
        <f>SUM(H95:H106)</f>
        <v>479090</v>
      </c>
      <c r="I94" s="174">
        <f>SUM(I95:I106)</f>
        <v>0</v>
      </c>
      <c r="J94" s="260">
        <f>SUM(J95:J106)</f>
        <v>220127</v>
      </c>
      <c r="K94" s="140">
        <f>SUM(K95:K106)</f>
        <v>0</v>
      </c>
      <c r="L94" s="140">
        <f>SUM(L95:L106)</f>
        <v>0</v>
      </c>
    </row>
    <row r="95" spans="1:12" ht="15.75">
      <c r="A95" s="156">
        <v>70</v>
      </c>
      <c r="B95" s="80"/>
      <c r="C95" s="80"/>
      <c r="D95" s="158" t="s">
        <v>287</v>
      </c>
      <c r="E95" s="214">
        <v>3132</v>
      </c>
      <c r="F95" s="125">
        <v>33606</v>
      </c>
      <c r="G95" s="124">
        <f>33606-3306</f>
        <v>30300</v>
      </c>
      <c r="H95" s="95">
        <f>492+29808</f>
        <v>30300</v>
      </c>
      <c r="I95" s="124">
        <f>SUM(G95-H95)</f>
        <v>0</v>
      </c>
      <c r="J95" s="115">
        <v>3306</v>
      </c>
      <c r="K95" s="124"/>
      <c r="L95" s="124"/>
    </row>
    <row r="96" spans="1:12" ht="15.75">
      <c r="A96" s="166">
        <v>71</v>
      </c>
      <c r="B96" s="72"/>
      <c r="C96" s="72"/>
      <c r="D96" s="158" t="s">
        <v>286</v>
      </c>
      <c r="E96" s="256">
        <v>3132</v>
      </c>
      <c r="F96" s="164">
        <v>23515</v>
      </c>
      <c r="G96" s="163">
        <f>23515-2292</f>
        <v>21223</v>
      </c>
      <c r="H96" s="171">
        <f>381+20842</f>
        <v>21223</v>
      </c>
      <c r="I96" s="124">
        <f>SUM(G96-H96)</f>
        <v>0</v>
      </c>
      <c r="J96" s="161">
        <v>2292</v>
      </c>
      <c r="K96" s="163">
        <f>2292-2292</f>
        <v>0</v>
      </c>
      <c r="L96" s="163"/>
    </row>
    <row r="97" spans="1:12" ht="15.75">
      <c r="A97" s="166">
        <v>72</v>
      </c>
      <c r="B97" s="72"/>
      <c r="C97" s="72"/>
      <c r="D97" s="158" t="s">
        <v>285</v>
      </c>
      <c r="E97" s="256">
        <v>3132</v>
      </c>
      <c r="F97" s="164">
        <v>22866</v>
      </c>
      <c r="G97" s="163">
        <f>376.05+581+12536-12536+6759.55-3795+2613.4+16331-22408</f>
        <v>458</v>
      </c>
      <c r="H97" s="171">
        <f>458</f>
        <v>458</v>
      </c>
      <c r="I97" s="124">
        <f>SUM(G97-H97)</f>
        <v>0</v>
      </c>
      <c r="J97" s="161">
        <f>22408</f>
        <v>22408</v>
      </c>
      <c r="K97" s="163"/>
      <c r="L97" s="163"/>
    </row>
    <row r="98" spans="1:12" ht="30">
      <c r="A98" s="166">
        <v>73</v>
      </c>
      <c r="B98" s="72"/>
      <c r="C98" s="72"/>
      <c r="D98" s="158" t="s">
        <v>284</v>
      </c>
      <c r="E98" s="256">
        <v>3132</v>
      </c>
      <c r="F98" s="125">
        <v>46891</v>
      </c>
      <c r="G98" s="124">
        <f>30560+12536+3795-4574</f>
        <v>42317</v>
      </c>
      <c r="H98" s="95">
        <f>1527+40790</f>
        <v>42317</v>
      </c>
      <c r="I98" s="124">
        <f>SUM(G98-H98)</f>
        <v>0</v>
      </c>
      <c r="J98" s="115">
        <v>4574</v>
      </c>
      <c r="K98" s="124"/>
      <c r="L98" s="124"/>
    </row>
    <row r="99" spans="1:12" ht="15.75">
      <c r="A99" s="166">
        <v>74</v>
      </c>
      <c r="B99" s="72"/>
      <c r="C99" s="72"/>
      <c r="D99" s="155" t="s">
        <v>283</v>
      </c>
      <c r="E99" s="256">
        <v>3132</v>
      </c>
      <c r="F99" s="226">
        <v>76690</v>
      </c>
      <c r="G99" s="124">
        <f>5996.05+21131+4834-2218+20457+22745+3444.95-6714</f>
        <v>69676</v>
      </c>
      <c r="H99" s="95">
        <f>2226+67450</f>
        <v>69676</v>
      </c>
      <c r="I99" s="124">
        <f>SUM(G99-H99)</f>
        <v>0</v>
      </c>
      <c r="J99" s="186">
        <v>6714</v>
      </c>
      <c r="K99" s="124">
        <f>6714-6714</f>
        <v>0</v>
      </c>
      <c r="L99" s="124"/>
    </row>
    <row r="100" spans="1:12" ht="15.75">
      <c r="A100" s="166">
        <v>75</v>
      </c>
      <c r="B100" s="72"/>
      <c r="C100" s="72"/>
      <c r="D100" s="155" t="s">
        <v>282</v>
      </c>
      <c r="E100" s="256">
        <v>3132</v>
      </c>
      <c r="F100" s="226">
        <v>194000</v>
      </c>
      <c r="G100" s="124">
        <f>21750.95+151548.05+15401-9270</f>
        <v>179430</v>
      </c>
      <c r="H100" s="95">
        <f>3310+45924.36+130195.64</f>
        <v>179430</v>
      </c>
      <c r="I100" s="124">
        <f>SUM(G100-H100)</f>
        <v>0</v>
      </c>
      <c r="J100" s="115">
        <v>9270</v>
      </c>
      <c r="K100" s="124"/>
      <c r="L100" s="124"/>
    </row>
    <row r="101" spans="1:12" ht="15.75">
      <c r="A101" s="166">
        <v>76</v>
      </c>
      <c r="B101" s="72"/>
      <c r="C101" s="72"/>
      <c r="D101" s="155" t="s">
        <v>184</v>
      </c>
      <c r="E101" s="256">
        <v>3132</v>
      </c>
      <c r="F101" s="125">
        <v>64837</v>
      </c>
      <c r="G101" s="124">
        <f>12108.05-2373-5996.05+26903+34195-32088</f>
        <v>32749</v>
      </c>
      <c r="H101" s="95">
        <f>30642+2107</f>
        <v>32749</v>
      </c>
      <c r="I101" s="124">
        <f>SUM(G101-H101)</f>
        <v>0</v>
      </c>
      <c r="J101" s="115">
        <f>32088</f>
        <v>32088</v>
      </c>
      <c r="K101" s="124"/>
      <c r="L101" s="259"/>
    </row>
    <row r="102" spans="1:12" ht="15.75">
      <c r="A102" s="166">
        <v>77</v>
      </c>
      <c r="B102" s="72"/>
      <c r="C102" s="72"/>
      <c r="D102" s="155" t="s">
        <v>281</v>
      </c>
      <c r="E102" s="256">
        <v>3132</v>
      </c>
      <c r="F102" s="226">
        <v>81765</v>
      </c>
      <c r="G102" s="124">
        <f>9059+26609+1583+4437+36557-76886</f>
        <v>1359</v>
      </c>
      <c r="H102" s="95">
        <f>1359</f>
        <v>1359</v>
      </c>
      <c r="I102" s="124">
        <f>SUM(G102-H102)</f>
        <v>0</v>
      </c>
      <c r="J102" s="115">
        <f>71899+4987</f>
        <v>76886</v>
      </c>
      <c r="K102" s="124">
        <f>4987-4987</f>
        <v>0</v>
      </c>
      <c r="L102" s="124"/>
    </row>
    <row r="103" spans="1:12" ht="15.75">
      <c r="A103" s="166">
        <v>78</v>
      </c>
      <c r="B103" s="72"/>
      <c r="C103" s="72"/>
      <c r="D103" s="155" t="s">
        <v>280</v>
      </c>
      <c r="E103" s="256">
        <v>3132</v>
      </c>
      <c r="F103" s="258">
        <v>57219</v>
      </c>
      <c r="G103" s="163">
        <f>6085.95+13262+11211.05+18860+2218-2218</f>
        <v>49419</v>
      </c>
      <c r="H103" s="171">
        <f>1872+47547</f>
        <v>49419</v>
      </c>
      <c r="I103" s="124">
        <f>SUM(G103-H103)</f>
        <v>0</v>
      </c>
      <c r="J103" s="161">
        <v>2218</v>
      </c>
      <c r="K103" s="163"/>
      <c r="L103" s="163"/>
    </row>
    <row r="104" spans="1:12" ht="15.75">
      <c r="A104" s="166">
        <v>79</v>
      </c>
      <c r="B104" s="72"/>
      <c r="C104" s="72"/>
      <c r="D104" s="155" t="s">
        <v>279</v>
      </c>
      <c r="E104" s="256">
        <v>3132</v>
      </c>
      <c r="F104" s="125">
        <v>77151</v>
      </c>
      <c r="G104" s="124">
        <f>2373+2616+24182+25538+22442-25595</f>
        <v>51556</v>
      </c>
      <c r="H104" s="95">
        <f>1264+50292</f>
        <v>51556</v>
      </c>
      <c r="I104" s="124">
        <f>SUM(G104-H104)</f>
        <v>0</v>
      </c>
      <c r="J104" s="115">
        <f>75887-50292</f>
        <v>25595</v>
      </c>
      <c r="K104" s="124"/>
      <c r="L104" s="124"/>
    </row>
    <row r="105" spans="1:12" ht="15.75">
      <c r="A105" s="166">
        <v>80</v>
      </c>
      <c r="D105" s="158" t="s">
        <v>179</v>
      </c>
      <c r="E105" s="256">
        <v>2240</v>
      </c>
      <c r="F105" s="164">
        <v>11066</v>
      </c>
      <c r="G105" s="163">
        <f>2441.27+8624.73-10907</f>
        <v>159</v>
      </c>
      <c r="H105" s="171">
        <f>159</f>
        <v>159</v>
      </c>
      <c r="I105" s="124">
        <f>SUM(G105-H105)</f>
        <v>0</v>
      </c>
      <c r="J105" s="161">
        <f>10907</f>
        <v>10907</v>
      </c>
      <c r="K105" s="163"/>
      <c r="L105" s="257"/>
    </row>
    <row r="106" spans="1:12" ht="15.75">
      <c r="A106" s="156">
        <v>81</v>
      </c>
      <c r="D106" s="158" t="s">
        <v>278</v>
      </c>
      <c r="E106" s="256">
        <v>2240</v>
      </c>
      <c r="F106" s="132">
        <v>24313</v>
      </c>
      <c r="G106" s="131">
        <f>905.12+1882.88+1602+18756+1167-23869</f>
        <v>444</v>
      </c>
      <c r="H106" s="149">
        <f>444</f>
        <v>444</v>
      </c>
      <c r="I106" s="124">
        <f>SUM(G106-H106)</f>
        <v>0</v>
      </c>
      <c r="J106" s="130">
        <f>23869</f>
        <v>23869</v>
      </c>
      <c r="K106" s="131"/>
      <c r="L106" s="131"/>
    </row>
    <row r="107" spans="1:16" ht="15.75">
      <c r="A107" s="255" t="s">
        <v>277</v>
      </c>
      <c r="B107" s="254"/>
      <c r="C107" s="254"/>
      <c r="D107" s="253"/>
      <c r="E107" s="252"/>
      <c r="F107" s="250"/>
      <c r="G107" s="250"/>
      <c r="H107" s="250"/>
      <c r="I107" s="250"/>
      <c r="J107" s="251">
        <v>5749991.62</v>
      </c>
      <c r="K107" s="250"/>
      <c r="L107" s="249"/>
      <c r="P107" s="248"/>
    </row>
    <row r="108" spans="1:12" ht="13.5" customHeight="1">
      <c r="A108" s="80"/>
      <c r="B108" s="209">
        <v>16</v>
      </c>
      <c r="C108" s="80"/>
      <c r="D108" s="247" t="s">
        <v>276</v>
      </c>
      <c r="E108" s="244"/>
      <c r="F108" s="233">
        <f>SUM(F109:F109)</f>
        <v>823042</v>
      </c>
      <c r="G108" s="139">
        <f>SUM(G109:G109)</f>
        <v>274814.89</v>
      </c>
      <c r="H108" s="139">
        <f>SUM(H109:H109)</f>
        <v>274814.89</v>
      </c>
      <c r="I108" s="139">
        <f>SUM(I109:I109)</f>
        <v>0</v>
      </c>
      <c r="J108" s="121">
        <f>SUM(J109:J109)</f>
        <v>52000</v>
      </c>
      <c r="K108" s="168">
        <f>SUM(K109:K109)</f>
        <v>0</v>
      </c>
      <c r="L108" s="168">
        <f>SUM(L109:L109)</f>
        <v>496227.11</v>
      </c>
    </row>
    <row r="109" spans="1:12" ht="32.25" customHeight="1">
      <c r="A109" s="202">
        <v>82</v>
      </c>
      <c r="B109" s="209"/>
      <c r="C109" s="240"/>
      <c r="D109" s="210" t="s">
        <v>275</v>
      </c>
      <c r="E109" s="222">
        <v>3132</v>
      </c>
      <c r="F109" s="246">
        <v>823042</v>
      </c>
      <c r="G109" s="187">
        <f>159358.35+110183.65+52486.89+4786-52000</f>
        <v>274814.89</v>
      </c>
      <c r="H109" s="124">
        <f>269542+486.89+4786</f>
        <v>274814.89</v>
      </c>
      <c r="I109" s="124">
        <f>SUM(G109-H109)</f>
        <v>0</v>
      </c>
      <c r="J109" s="186">
        <f>52000</f>
        <v>52000</v>
      </c>
      <c r="K109" s="185"/>
      <c r="L109" s="185">
        <f>537711-52000+11075+4714-486.89-4786</f>
        <v>496227.11</v>
      </c>
    </row>
    <row r="110" spans="1:12" ht="15.75">
      <c r="A110" s="216"/>
      <c r="B110" s="245">
        <v>28</v>
      </c>
      <c r="C110" s="216"/>
      <c r="D110" s="225" t="s">
        <v>274</v>
      </c>
      <c r="E110" s="244"/>
      <c r="F110" s="243">
        <f>SUM(F111:F117)</f>
        <v>1608858</v>
      </c>
      <c r="G110" s="189">
        <f>SUM(G111:G117)</f>
        <v>1440359.9</v>
      </c>
      <c r="H110" s="189">
        <f>SUM(H111:H117)</f>
        <v>1440359.9</v>
      </c>
      <c r="I110" s="189">
        <f>SUM(I111:I117)</f>
        <v>0</v>
      </c>
      <c r="J110" s="121">
        <f>SUM(J111:J117)</f>
        <v>83372.1</v>
      </c>
      <c r="K110" s="173">
        <f>SUM(K111:K117)</f>
        <v>0</v>
      </c>
      <c r="L110" s="173">
        <f>SUM(L111:L117)</f>
        <v>85126</v>
      </c>
    </row>
    <row r="111" spans="1:12" ht="21" customHeight="1">
      <c r="A111" s="128">
        <v>83</v>
      </c>
      <c r="B111" s="241"/>
      <c r="C111" s="240"/>
      <c r="D111" s="210" t="s">
        <v>273</v>
      </c>
      <c r="E111" s="239">
        <v>3132</v>
      </c>
      <c r="F111" s="125">
        <v>252288</v>
      </c>
      <c r="G111" s="124">
        <f>116208.9-41764.9+173704+4140-12408</f>
        <v>239880</v>
      </c>
      <c r="H111" s="124">
        <f>74444+4140+161296</f>
        <v>239880</v>
      </c>
      <c r="I111" s="124">
        <f>SUM(G111-H111)</f>
        <v>0</v>
      </c>
      <c r="J111" s="115">
        <v>12408</v>
      </c>
      <c r="K111" s="168"/>
      <c r="L111" s="167"/>
    </row>
    <row r="112" spans="1:12" ht="15.75">
      <c r="A112" s="128">
        <v>84</v>
      </c>
      <c r="B112" s="241"/>
      <c r="C112" s="240"/>
      <c r="D112" s="210" t="s">
        <v>272</v>
      </c>
      <c r="E112" s="239">
        <v>3132</v>
      </c>
      <c r="F112" s="125">
        <v>252488</v>
      </c>
      <c r="G112" s="124">
        <f>32738.1+41764.9+92859-439</f>
        <v>166923</v>
      </c>
      <c r="H112" s="124">
        <f>74503+2776+89644</f>
        <v>166923</v>
      </c>
      <c r="I112" s="124">
        <f>SUM(G112-H112)</f>
        <v>0</v>
      </c>
      <c r="J112" s="115">
        <f>90083-89644</f>
        <v>439</v>
      </c>
      <c r="K112" s="168"/>
      <c r="L112" s="167">
        <f>83760+1366</f>
        <v>85126</v>
      </c>
    </row>
    <row r="113" spans="1:12" ht="11.25" customHeight="1">
      <c r="A113" s="128">
        <v>85</v>
      </c>
      <c r="B113" s="241"/>
      <c r="C113" s="240"/>
      <c r="D113" s="210" t="s">
        <v>271</v>
      </c>
      <c r="E113" s="239">
        <v>3132</v>
      </c>
      <c r="F113" s="125">
        <v>252188</v>
      </c>
      <c r="G113" s="124">
        <f>72748+1057+610+22675.06+27547+9528.94+113886+4136-12403</f>
        <v>239785</v>
      </c>
      <c r="H113" s="124">
        <f>74415+17107+4136+62704+37356+42644+1423</f>
        <v>239785</v>
      </c>
      <c r="I113" s="124">
        <f>SUM(G113-H113)</f>
        <v>0</v>
      </c>
      <c r="J113" s="115">
        <v>12403</v>
      </c>
      <c r="K113" s="168"/>
      <c r="L113" s="167"/>
    </row>
    <row r="114" spans="1:12" ht="15.75">
      <c r="A114" s="128">
        <v>86</v>
      </c>
      <c r="B114" s="241"/>
      <c r="C114" s="240"/>
      <c r="D114" s="210" t="s">
        <v>270</v>
      </c>
      <c r="E114" s="239">
        <v>3132</v>
      </c>
      <c r="F114" s="125">
        <v>251988</v>
      </c>
      <c r="G114" s="124">
        <f>74356+177632-12393</f>
        <v>239595</v>
      </c>
      <c r="H114" s="124">
        <f>25615+25556+23185+4134+161105</f>
        <v>239595</v>
      </c>
      <c r="I114" s="187">
        <f>SUM(G114-H114)</f>
        <v>0</v>
      </c>
      <c r="J114" s="115">
        <v>12393</v>
      </c>
      <c r="K114" s="168"/>
      <c r="L114" s="167"/>
    </row>
    <row r="115" spans="1:12" ht="15.75">
      <c r="A115" s="128">
        <v>87</v>
      </c>
      <c r="B115" s="241"/>
      <c r="C115" s="240"/>
      <c r="D115" s="210" t="s">
        <v>269</v>
      </c>
      <c r="E115" s="239">
        <v>3132</v>
      </c>
      <c r="F115" s="125">
        <v>252088</v>
      </c>
      <c r="G115" s="124">
        <f>74385+2422.72+175280.28-12398</f>
        <v>239690</v>
      </c>
      <c r="H115" s="124">
        <f>74385+34279+4138+35100+91788</f>
        <v>239690</v>
      </c>
      <c r="I115" s="242">
        <f>SUM(G115-H115)</f>
        <v>0</v>
      </c>
      <c r="J115" s="115">
        <v>12398</v>
      </c>
      <c r="K115" s="168"/>
      <c r="L115" s="167"/>
    </row>
    <row r="116" spans="1:12" ht="15.75">
      <c r="A116" s="128">
        <v>88</v>
      </c>
      <c r="B116" s="241"/>
      <c r="C116" s="240"/>
      <c r="D116" s="210" t="s">
        <v>268</v>
      </c>
      <c r="E116" s="239">
        <v>3132</v>
      </c>
      <c r="F116" s="125">
        <v>252388</v>
      </c>
      <c r="G116" s="124">
        <f>38337+547+8072+4872+22647+161362+16551-12413</f>
        <v>239975</v>
      </c>
      <c r="H116" s="124">
        <f>27817+39133.54+7524.46+161362+4138</f>
        <v>239975</v>
      </c>
      <c r="I116" s="187">
        <f>SUM(G116-H116)</f>
        <v>0</v>
      </c>
      <c r="J116" s="115">
        <v>12413</v>
      </c>
      <c r="K116" s="168"/>
      <c r="L116" s="167"/>
    </row>
    <row r="117" spans="1:12" ht="15.75">
      <c r="A117" s="128">
        <v>89</v>
      </c>
      <c r="B117" s="241"/>
      <c r="C117" s="240"/>
      <c r="D117" s="210" t="s">
        <v>267</v>
      </c>
      <c r="E117" s="239">
        <v>2240</v>
      </c>
      <c r="F117" s="125">
        <v>95430</v>
      </c>
      <c r="G117" s="124">
        <f>95430-20918.1</f>
        <v>74511.9</v>
      </c>
      <c r="H117" s="124">
        <f>28200+1386+44925.9</f>
        <v>74511.9</v>
      </c>
      <c r="I117" s="124">
        <f>SUM(G117-H117)</f>
        <v>0</v>
      </c>
      <c r="J117" s="115">
        <f>65844-44925.9</f>
        <v>20918.1</v>
      </c>
      <c r="K117" s="184"/>
      <c r="L117" s="184"/>
    </row>
    <row r="118" spans="1:12" ht="15.75">
      <c r="A118" s="80"/>
      <c r="B118" s="209">
        <v>36</v>
      </c>
      <c r="C118" s="80"/>
      <c r="D118" s="225" t="s">
        <v>266</v>
      </c>
      <c r="E118" s="238"/>
      <c r="F118" s="237">
        <f>SUM(F119:F121)</f>
        <v>398700</v>
      </c>
      <c r="G118" s="139">
        <f>SUM(G119:G121)</f>
        <v>371787</v>
      </c>
      <c r="H118" s="139">
        <f>SUM(H119:H121)</f>
        <v>371787</v>
      </c>
      <c r="I118" s="139">
        <f>SUM(I119:I121)</f>
        <v>0</v>
      </c>
      <c r="J118" s="121">
        <f>SUM(J119:J121)</f>
        <v>19213</v>
      </c>
      <c r="K118" s="173">
        <f>SUM(K119:K121)</f>
        <v>0</v>
      </c>
      <c r="L118" s="173">
        <f>SUM(L119:L121)</f>
        <v>0</v>
      </c>
    </row>
    <row r="119" spans="1:12" ht="15.75">
      <c r="A119" s="128">
        <v>90</v>
      </c>
      <c r="B119" s="209"/>
      <c r="C119" s="208"/>
      <c r="D119" s="210" t="s">
        <v>265</v>
      </c>
      <c r="E119" s="235">
        <v>3132</v>
      </c>
      <c r="F119" s="226">
        <v>100000</v>
      </c>
      <c r="G119" s="124">
        <f>28812+68888-4803</f>
        <v>92897</v>
      </c>
      <c r="H119" s="124">
        <f>28812+1659+62426</f>
        <v>92897</v>
      </c>
      <c r="I119" s="124">
        <f>SUM(G119-H119)</f>
        <v>0</v>
      </c>
      <c r="J119" s="115">
        <v>4803</v>
      </c>
      <c r="K119" s="168"/>
      <c r="L119" s="116"/>
    </row>
    <row r="120" spans="1:12" ht="15.75">
      <c r="A120" s="128">
        <v>91</v>
      </c>
      <c r="B120" s="209"/>
      <c r="C120" s="208"/>
      <c r="D120" s="210" t="s">
        <v>264</v>
      </c>
      <c r="E120" s="235">
        <v>3132</v>
      </c>
      <c r="F120" s="226">
        <v>100000</v>
      </c>
      <c r="G120" s="124">
        <f>28812+68988-4803</f>
        <v>92997</v>
      </c>
      <c r="H120" s="124">
        <f>1759+91238</f>
        <v>92997</v>
      </c>
      <c r="I120" s="124">
        <f>SUM(G120-H120)</f>
        <v>0</v>
      </c>
      <c r="J120" s="115">
        <v>4803</v>
      </c>
      <c r="K120" s="168"/>
      <c r="L120" s="116"/>
    </row>
    <row r="121" spans="1:12" ht="15.75">
      <c r="A121" s="128">
        <v>92</v>
      </c>
      <c r="B121" s="209"/>
      <c r="C121" s="208"/>
      <c r="D121" s="210" t="s">
        <v>263</v>
      </c>
      <c r="E121" s="235">
        <v>3132</v>
      </c>
      <c r="F121" s="226">
        <v>198700</v>
      </c>
      <c r="G121" s="124">
        <f>57640+137860-9607</f>
        <v>185893</v>
      </c>
      <c r="H121" s="124">
        <f>3366+182527</f>
        <v>185893</v>
      </c>
      <c r="I121" s="124">
        <f>SUM(G121-H121)</f>
        <v>0</v>
      </c>
      <c r="J121" s="115">
        <v>9607</v>
      </c>
      <c r="K121" s="168"/>
      <c r="L121" s="116"/>
    </row>
    <row r="122" spans="1:12" ht="15.75">
      <c r="A122" s="128"/>
      <c r="B122" s="209"/>
      <c r="C122" s="208"/>
      <c r="D122" s="212" t="s">
        <v>262</v>
      </c>
      <c r="E122" s="236"/>
      <c r="F122" s="233">
        <f>SUM(F123:F124)</f>
        <v>419337</v>
      </c>
      <c r="G122" s="139">
        <f>SUM(G123:G124)</f>
        <v>354764</v>
      </c>
      <c r="H122" s="139">
        <f>SUM(H123:H124)</f>
        <v>354764</v>
      </c>
      <c r="I122" s="139">
        <f>SUM(I123:I124)</f>
        <v>0</v>
      </c>
      <c r="J122" s="121">
        <f>SUM(J123:J124)</f>
        <v>57703</v>
      </c>
      <c r="K122" s="168">
        <f>SUM(K123:K124)</f>
        <v>0</v>
      </c>
      <c r="L122" s="168">
        <f>SUM(L123:L124)</f>
        <v>0</v>
      </c>
    </row>
    <row r="123" spans="1:12" ht="15.75">
      <c r="A123" s="128">
        <v>93</v>
      </c>
      <c r="B123" s="209"/>
      <c r="C123" s="208"/>
      <c r="D123" s="210" t="s">
        <v>261</v>
      </c>
      <c r="E123" s="235">
        <v>3132</v>
      </c>
      <c r="F123" s="125">
        <v>379337</v>
      </c>
      <c r="G123" s="124">
        <f>3970+368497-18303</f>
        <v>354164</v>
      </c>
      <c r="H123" s="124">
        <f>6357+67+347740</f>
        <v>354164</v>
      </c>
      <c r="I123" s="124">
        <f>SUM(G123-H123)</f>
        <v>0</v>
      </c>
      <c r="J123" s="115">
        <v>18303</v>
      </c>
      <c r="K123" s="168"/>
      <c r="L123" s="116"/>
    </row>
    <row r="124" spans="1:12" ht="15.75">
      <c r="A124" s="128">
        <v>94</v>
      </c>
      <c r="B124" s="209"/>
      <c r="C124" s="208"/>
      <c r="D124" s="210" t="s">
        <v>260</v>
      </c>
      <c r="E124" s="235">
        <v>2240</v>
      </c>
      <c r="F124" s="125">
        <v>40000</v>
      </c>
      <c r="G124" s="124">
        <f>40000-39400</f>
        <v>600</v>
      </c>
      <c r="H124" s="124">
        <f>600</f>
        <v>600</v>
      </c>
      <c r="I124" s="124">
        <f>SUM(G124-H124)</f>
        <v>0</v>
      </c>
      <c r="J124" s="186">
        <f>39400</f>
        <v>39400</v>
      </c>
      <c r="K124" s="168"/>
      <c r="L124" s="116"/>
    </row>
    <row r="125" spans="1:12" ht="15.75">
      <c r="A125" s="80"/>
      <c r="B125" s="209"/>
      <c r="C125" s="208"/>
      <c r="D125" s="234" t="s">
        <v>259</v>
      </c>
      <c r="E125" s="229"/>
      <c r="F125" s="233">
        <f>SUM(F126:F133)</f>
        <v>1238304</v>
      </c>
      <c r="G125" s="152">
        <f>SUM(G126:G133)</f>
        <v>534020.81</v>
      </c>
      <c r="H125" s="152">
        <f>SUM(H126:H133)</f>
        <v>534020.81</v>
      </c>
      <c r="I125" s="152">
        <f>SUM(I126:I133)</f>
        <v>0</v>
      </c>
      <c r="J125" s="121">
        <f>SUM(J126:J133)</f>
        <v>674887.19</v>
      </c>
      <c r="K125" s="173">
        <f>SUM(K126:K133)</f>
        <v>0</v>
      </c>
      <c r="L125" s="173">
        <f>SUM(L126:L133)</f>
        <v>0</v>
      </c>
    </row>
    <row r="126" spans="1:12" ht="15.75">
      <c r="A126" s="128">
        <v>95</v>
      </c>
      <c r="B126" s="209"/>
      <c r="C126" s="208"/>
      <c r="D126" s="210" t="s">
        <v>258</v>
      </c>
      <c r="E126" s="222">
        <v>3132</v>
      </c>
      <c r="F126" s="188">
        <v>218000</v>
      </c>
      <c r="G126" s="124">
        <f>62491+149479-23292.19</f>
        <v>188677.81</v>
      </c>
      <c r="H126" s="124">
        <f>3666+185011.81</f>
        <v>188677.81</v>
      </c>
      <c r="I126" s="124">
        <f>SUM(G126-H126)</f>
        <v>0</v>
      </c>
      <c r="J126" s="115">
        <f>197888-185011.81+10416</f>
        <v>23292.190000000002</v>
      </c>
      <c r="K126" s="168"/>
      <c r="L126" s="167"/>
    </row>
    <row r="127" spans="1:12" ht="15.75">
      <c r="A127" s="128">
        <v>96</v>
      </c>
      <c r="B127" s="209"/>
      <c r="C127" s="208"/>
      <c r="D127" s="210" t="s">
        <v>257</v>
      </c>
      <c r="E127" s="222">
        <v>3132</v>
      </c>
      <c r="F127" s="125">
        <v>283000</v>
      </c>
      <c r="G127" s="124">
        <f>173952+98527+4791-272479</f>
        <v>4791</v>
      </c>
      <c r="H127" s="124">
        <f>4791</f>
        <v>4791</v>
      </c>
      <c r="I127" s="124">
        <f>SUM(G127-H127)</f>
        <v>0</v>
      </c>
      <c r="J127" s="115">
        <f>258855+13624</f>
        <v>272479</v>
      </c>
      <c r="K127" s="168"/>
      <c r="L127" s="167"/>
    </row>
    <row r="128" spans="1:12" ht="15.75">
      <c r="A128" s="128">
        <v>97</v>
      </c>
      <c r="B128" s="209"/>
      <c r="C128" s="208"/>
      <c r="D128" s="210" t="s">
        <v>256</v>
      </c>
      <c r="E128" s="222">
        <v>3132</v>
      </c>
      <c r="F128" s="125">
        <v>122000</v>
      </c>
      <c r="G128" s="124">
        <f>118920-5844</f>
        <v>113076</v>
      </c>
      <c r="H128" s="124">
        <f>2041+111035</f>
        <v>113076</v>
      </c>
      <c r="I128" s="124">
        <f>SUM(G128-H128)</f>
        <v>0</v>
      </c>
      <c r="J128" s="115">
        <v>5844</v>
      </c>
      <c r="K128" s="168"/>
      <c r="L128" s="232"/>
    </row>
    <row r="129" spans="1:12" ht="15.75">
      <c r="A129" s="128">
        <v>98</v>
      </c>
      <c r="B129" s="209"/>
      <c r="C129" s="208"/>
      <c r="D129" s="210" t="s">
        <v>255</v>
      </c>
      <c r="E129" s="222">
        <v>3132</v>
      </c>
      <c r="F129" s="125">
        <v>175000</v>
      </c>
      <c r="G129" s="124">
        <f>171000-8403</f>
        <v>162597</v>
      </c>
      <c r="H129" s="124">
        <f>2950+159647</f>
        <v>162597</v>
      </c>
      <c r="I129" s="231">
        <f>SUM(G129-H129)</f>
        <v>0</v>
      </c>
      <c r="J129" s="115">
        <v>8403</v>
      </c>
      <c r="K129" s="168"/>
      <c r="L129" s="167"/>
    </row>
    <row r="130" spans="1:12" ht="15.75">
      <c r="A130" s="128">
        <v>99</v>
      </c>
      <c r="B130" s="209"/>
      <c r="C130" s="208"/>
      <c r="D130" s="210" t="s">
        <v>254</v>
      </c>
      <c r="E130" s="222">
        <v>3132</v>
      </c>
      <c r="F130" s="125">
        <v>200000</v>
      </c>
      <c r="G130" s="124">
        <f>58000+951+136349-133928</f>
        <v>61372</v>
      </c>
      <c r="H130" s="124">
        <f>58000+951+2421</f>
        <v>61372</v>
      </c>
      <c r="I130" s="124">
        <f>SUM(G130-H130)</f>
        <v>0</v>
      </c>
      <c r="J130" s="186">
        <f>133928</f>
        <v>133928</v>
      </c>
      <c r="K130" s="168"/>
      <c r="L130" s="167"/>
    </row>
    <row r="131" spans="1:12" ht="15.75">
      <c r="A131" s="128">
        <v>100</v>
      </c>
      <c r="B131" s="209"/>
      <c r="C131" s="208"/>
      <c r="D131" s="210" t="s">
        <v>253</v>
      </c>
      <c r="E131" s="222">
        <v>3132</v>
      </c>
      <c r="F131" s="125">
        <v>132956</v>
      </c>
      <c r="G131" s="124">
        <f>2205+28932.92+95962.08-124895</f>
        <v>2205</v>
      </c>
      <c r="H131" s="124">
        <f>2205</f>
        <v>2205</v>
      </c>
      <c r="I131" s="124">
        <f>SUM(G131-H131)</f>
        <v>0</v>
      </c>
      <c r="J131" s="115">
        <f>124895</f>
        <v>124895</v>
      </c>
      <c r="K131" s="168"/>
      <c r="L131" s="167"/>
    </row>
    <row r="132" spans="1:12" ht="15.75">
      <c r="A132" s="128">
        <v>101</v>
      </c>
      <c r="B132" s="209"/>
      <c r="C132" s="208"/>
      <c r="D132" s="210" t="s">
        <v>252</v>
      </c>
      <c r="E132" s="222">
        <v>3132</v>
      </c>
      <c r="F132" s="125">
        <v>17348</v>
      </c>
      <c r="G132" s="124">
        <v>0</v>
      </c>
      <c r="H132" s="124"/>
      <c r="I132" s="124">
        <v>0</v>
      </c>
      <c r="J132" s="115">
        <v>17348</v>
      </c>
      <c r="K132" s="138"/>
      <c r="L132" s="167"/>
    </row>
    <row r="133" spans="1:12" ht="15.75">
      <c r="A133" s="128">
        <v>102</v>
      </c>
      <c r="B133" s="209"/>
      <c r="C133" s="208"/>
      <c r="D133" s="210" t="s">
        <v>251</v>
      </c>
      <c r="E133" s="222">
        <v>2240</v>
      </c>
      <c r="F133" s="125">
        <v>90000</v>
      </c>
      <c r="G133" s="124">
        <f>90000-88698</f>
        <v>1302</v>
      </c>
      <c r="H133" s="124">
        <f>1302</f>
        <v>1302</v>
      </c>
      <c r="I133" s="124">
        <f>SUM(G133-H133)</f>
        <v>0</v>
      </c>
      <c r="J133" s="186">
        <f>88698</f>
        <v>88698</v>
      </c>
      <c r="K133" s="168"/>
      <c r="L133" s="168"/>
    </row>
    <row r="134" spans="1:12" ht="15.75">
      <c r="A134" s="128"/>
      <c r="B134" s="227"/>
      <c r="C134" s="208"/>
      <c r="D134" s="230" t="s">
        <v>250</v>
      </c>
      <c r="E134" s="229"/>
      <c r="F134" s="228">
        <f>SUM(F135:F135)</f>
        <v>160000</v>
      </c>
      <c r="G134" s="152">
        <f>SUM(G135:G135)</f>
        <v>2744</v>
      </c>
      <c r="H134" s="152">
        <f>SUM(H135:H135)</f>
        <v>2744</v>
      </c>
      <c r="I134" s="140">
        <f>SUM(I135:I135)</f>
        <v>0</v>
      </c>
      <c r="J134" s="121">
        <f>SUM(J135:J135)</f>
        <v>153656</v>
      </c>
      <c r="K134" s="153">
        <f>SUM(K135:K135)</f>
        <v>0</v>
      </c>
      <c r="L134" s="153">
        <f>SUM(L135:L135)</f>
        <v>0</v>
      </c>
    </row>
    <row r="135" spans="1:12" ht="15.75">
      <c r="A135" s="128">
        <v>103</v>
      </c>
      <c r="B135" s="227"/>
      <c r="C135" s="208"/>
      <c r="D135" s="210" t="s">
        <v>249</v>
      </c>
      <c r="E135" s="222">
        <v>3132</v>
      </c>
      <c r="F135" s="226">
        <v>160000</v>
      </c>
      <c r="G135" s="124">
        <f>2744+153656-153656</f>
        <v>2744</v>
      </c>
      <c r="H135" s="124">
        <f>2744</f>
        <v>2744</v>
      </c>
      <c r="I135" s="124">
        <f>SUM(G135-H135)</f>
        <v>0</v>
      </c>
      <c r="J135" s="115">
        <f>153656</f>
        <v>153656</v>
      </c>
      <c r="K135" s="168"/>
      <c r="L135" s="116"/>
    </row>
    <row r="136" spans="1:12" ht="15.75">
      <c r="A136" s="80"/>
      <c r="B136" s="209">
        <v>78</v>
      </c>
      <c r="C136" s="216"/>
      <c r="D136" s="225" t="s">
        <v>248</v>
      </c>
      <c r="E136" s="217"/>
      <c r="F136" s="211">
        <f>SUM(F137:F140)</f>
        <v>1562260</v>
      </c>
      <c r="G136" s="140">
        <f>SUM(G137:G140)</f>
        <v>438253</v>
      </c>
      <c r="H136" s="140">
        <f>SUM(H137:H140)</f>
        <v>438253</v>
      </c>
      <c r="I136" s="140">
        <f>SUM(I137:I140)</f>
        <v>0</v>
      </c>
      <c r="J136" s="121">
        <f>SUM(J137:J140)</f>
        <v>1039483</v>
      </c>
      <c r="K136" s="173">
        <f>SUM(K137:K140)</f>
        <v>0</v>
      </c>
      <c r="L136" s="173">
        <f>SUM(L137:L140)</f>
        <v>0</v>
      </c>
    </row>
    <row r="137" spans="1:12" ht="15.75">
      <c r="A137" s="202">
        <v>104</v>
      </c>
      <c r="B137" s="209"/>
      <c r="C137" s="208"/>
      <c r="D137" s="210" t="s">
        <v>247</v>
      </c>
      <c r="E137" s="222">
        <v>3132</v>
      </c>
      <c r="F137" s="125">
        <v>789142</v>
      </c>
      <c r="G137" s="124">
        <f>153417.48+81522.1+1810.42+2213+3221+409252-403577</f>
        <v>247859</v>
      </c>
      <c r="H137" s="124">
        <f>142941.6+93808.4+3221+7888</f>
        <v>247859</v>
      </c>
      <c r="I137" s="124">
        <f>SUM(G137-H137)</f>
        <v>0</v>
      </c>
      <c r="J137" s="115">
        <f>2213+401364+3221</f>
        <v>406798</v>
      </c>
      <c r="K137" s="168"/>
      <c r="L137" s="224"/>
    </row>
    <row r="138" spans="1:12" ht="15.75">
      <c r="A138" s="202">
        <v>105</v>
      </c>
      <c r="B138" s="209"/>
      <c r="C138" s="208"/>
      <c r="D138" s="210" t="s">
        <v>246</v>
      </c>
      <c r="E138" s="222">
        <v>3132</v>
      </c>
      <c r="F138" s="125">
        <v>593349</v>
      </c>
      <c r="G138" s="124">
        <f>175050+11726.04+8595+167298.85+216535.11+10195-404155</f>
        <v>185245</v>
      </c>
      <c r="H138" s="124">
        <f>175050+10195</f>
        <v>185245</v>
      </c>
      <c r="I138" s="124">
        <f>SUM(G138-H138)</f>
        <v>0</v>
      </c>
      <c r="J138" s="115">
        <f>379286+24869</f>
        <v>404155</v>
      </c>
      <c r="K138" s="168"/>
      <c r="L138" s="223"/>
    </row>
    <row r="139" spans="1:12" ht="15.75">
      <c r="A139" s="202">
        <v>106</v>
      </c>
      <c r="B139" s="209"/>
      <c r="C139" s="208"/>
      <c r="D139" s="210" t="s">
        <v>245</v>
      </c>
      <c r="E139" s="222">
        <v>2240</v>
      </c>
      <c r="F139" s="125">
        <v>59769</v>
      </c>
      <c r="G139" s="124">
        <f>59769-58900</f>
        <v>869</v>
      </c>
      <c r="H139" s="124">
        <f>869</f>
        <v>869</v>
      </c>
      <c r="I139" s="124">
        <f>SUM(G139-H139)</f>
        <v>0</v>
      </c>
      <c r="J139" s="115">
        <f>58900</f>
        <v>58900</v>
      </c>
      <c r="K139" s="168"/>
      <c r="L139" s="167"/>
    </row>
    <row r="140" spans="1:12" ht="15.75">
      <c r="A140" s="202">
        <v>107</v>
      </c>
      <c r="B140" s="209"/>
      <c r="C140" s="208"/>
      <c r="D140" s="210" t="s">
        <v>244</v>
      </c>
      <c r="E140" s="222">
        <v>2240</v>
      </c>
      <c r="F140" s="125">
        <v>120000</v>
      </c>
      <c r="G140" s="124">
        <f>8057.31+111942.69-115720</f>
        <v>4280</v>
      </c>
      <c r="H140" s="124">
        <f>4280</f>
        <v>4280</v>
      </c>
      <c r="I140" s="124">
        <f>SUM(G140-H140)</f>
        <v>0</v>
      </c>
      <c r="J140" s="186">
        <f>115720+53910</f>
        <v>169630</v>
      </c>
      <c r="K140" s="168"/>
      <c r="L140" s="167"/>
    </row>
    <row r="141" spans="1:12" ht="15.75">
      <c r="A141" s="80"/>
      <c r="B141" s="209">
        <v>90</v>
      </c>
      <c r="C141" s="216"/>
      <c r="D141" s="221" t="s">
        <v>243</v>
      </c>
      <c r="E141" s="220"/>
      <c r="F141" s="211">
        <f>SUM(F142:F142)</f>
        <v>328921</v>
      </c>
      <c r="G141" s="140">
        <f>SUM(G142:G142)</f>
        <v>312746</v>
      </c>
      <c r="H141" s="140">
        <f>SUM(H142:H142)</f>
        <v>312746</v>
      </c>
      <c r="I141" s="140">
        <f>SUM(I142:I142)</f>
        <v>0</v>
      </c>
      <c r="J141" s="121">
        <f>SUM(J142:J142)</f>
        <v>16175</v>
      </c>
      <c r="K141" s="173">
        <f>SUM(K142:K142)</f>
        <v>0</v>
      </c>
      <c r="L141" s="173">
        <f>SUM(L142:L142)</f>
        <v>0</v>
      </c>
    </row>
    <row r="142" spans="1:12" ht="15.75">
      <c r="A142" s="202">
        <v>108</v>
      </c>
      <c r="B142" s="219"/>
      <c r="C142" s="218"/>
      <c r="D142" s="210" t="s">
        <v>242</v>
      </c>
      <c r="E142" s="217">
        <v>3132</v>
      </c>
      <c r="F142" s="125">
        <v>328921</v>
      </c>
      <c r="G142" s="124">
        <f>328921-161362+161362-16175</f>
        <v>312746</v>
      </c>
      <c r="H142" s="124">
        <f>5421+307325</f>
        <v>312746</v>
      </c>
      <c r="I142" s="124">
        <f>SUM(G142-H142)</f>
        <v>0</v>
      </c>
      <c r="J142" s="115">
        <v>16175</v>
      </c>
      <c r="K142" s="169"/>
      <c r="L142" s="169"/>
    </row>
    <row r="143" spans="1:12" ht="15.75">
      <c r="A143" s="80"/>
      <c r="B143" s="209">
        <v>101</v>
      </c>
      <c r="C143" s="216"/>
      <c r="D143" s="215" t="s">
        <v>241</v>
      </c>
      <c r="E143" s="214"/>
      <c r="F143" s="213">
        <f>SUM(F144:F152)</f>
        <v>1184298</v>
      </c>
      <c r="G143" s="203">
        <f>SUM(G144:G152)</f>
        <v>421350</v>
      </c>
      <c r="H143" s="203">
        <f>SUM(H144:H152)</f>
        <v>421350</v>
      </c>
      <c r="I143" s="205">
        <f>SUM(I144:I152)</f>
        <v>0</v>
      </c>
      <c r="J143" s="121">
        <f>SUM(J144:J152)</f>
        <v>639670</v>
      </c>
      <c r="K143" s="173">
        <f>SUM(K144:K152)</f>
        <v>0</v>
      </c>
      <c r="L143" s="173">
        <f>SUM(L144:L152)</f>
        <v>89528</v>
      </c>
    </row>
    <row r="144" spans="1:12" ht="15.75">
      <c r="A144" s="128">
        <v>109</v>
      </c>
      <c r="B144" s="209"/>
      <c r="C144" s="208"/>
      <c r="D144" s="210" t="s">
        <v>240</v>
      </c>
      <c r="E144" s="151">
        <v>3132</v>
      </c>
      <c r="F144" s="125">
        <v>139000</v>
      </c>
      <c r="G144" s="124">
        <f>41016+86156+11828-6836</f>
        <v>132164</v>
      </c>
      <c r="H144" s="187">
        <f>41016+2280+88868</f>
        <v>132164</v>
      </c>
      <c r="I144" s="124">
        <f>SUM(G144-H144)</f>
        <v>0</v>
      </c>
      <c r="J144" s="115">
        <v>6836</v>
      </c>
      <c r="K144" s="168"/>
      <c r="L144" s="169"/>
    </row>
    <row r="145" spans="1:12" ht="15.75">
      <c r="A145" s="128">
        <v>110</v>
      </c>
      <c r="B145" s="209"/>
      <c r="C145" s="208"/>
      <c r="D145" s="210" t="s">
        <v>239</v>
      </c>
      <c r="E145" s="151">
        <v>3132</v>
      </c>
      <c r="F145" s="125">
        <v>266000</v>
      </c>
      <c r="G145" s="124">
        <f>78492+21187.19+17510.81+23055+2477-61753</f>
        <v>80969</v>
      </c>
      <c r="H145" s="187">
        <f>78492+2477</f>
        <v>80969</v>
      </c>
      <c r="I145" s="124">
        <f>SUM(G145-H145)</f>
        <v>0</v>
      </c>
      <c r="J145" s="115">
        <f>61753</f>
        <v>61753</v>
      </c>
      <c r="K145" s="168"/>
      <c r="L145" s="169">
        <f>87973+1555</f>
        <v>89528</v>
      </c>
    </row>
    <row r="146" spans="1:12" ht="15.75">
      <c r="A146" s="128">
        <v>111</v>
      </c>
      <c r="B146" s="209"/>
      <c r="C146" s="208"/>
      <c r="D146" s="210" t="s">
        <v>238</v>
      </c>
      <c r="E146" s="151">
        <v>3132</v>
      </c>
      <c r="F146" s="125">
        <v>99000</v>
      </c>
      <c r="G146" s="124">
        <f>1630+97370-97370</f>
        <v>1630</v>
      </c>
      <c r="H146" s="187">
        <f>1630</f>
        <v>1630</v>
      </c>
      <c r="I146" s="124">
        <f>SUM(G146-H146)</f>
        <v>0</v>
      </c>
      <c r="J146" s="115">
        <f>97370</f>
        <v>97370</v>
      </c>
      <c r="K146" s="168"/>
      <c r="L146" s="169"/>
    </row>
    <row r="147" spans="1:12" ht="15.75">
      <c r="A147" s="128">
        <v>112</v>
      </c>
      <c r="B147" s="209"/>
      <c r="C147" s="208"/>
      <c r="D147" s="210" t="s">
        <v>237</v>
      </c>
      <c r="E147" s="151">
        <v>3132</v>
      </c>
      <c r="F147" s="125">
        <v>200000</v>
      </c>
      <c r="G147" s="124">
        <f>59016+140984-137704</f>
        <v>62296</v>
      </c>
      <c r="H147" s="187">
        <f>59016+3280</f>
        <v>62296</v>
      </c>
      <c r="I147" s="124">
        <f>SUM(G147-H147)</f>
        <v>0</v>
      </c>
      <c r="J147" s="115">
        <f>127868+9836</f>
        <v>137704</v>
      </c>
      <c r="K147" s="168"/>
      <c r="L147" s="169"/>
    </row>
    <row r="148" spans="1:12" ht="15.75">
      <c r="A148" s="128">
        <v>113</v>
      </c>
      <c r="B148" s="209"/>
      <c r="C148" s="208"/>
      <c r="D148" s="210" t="s">
        <v>236</v>
      </c>
      <c r="E148" s="151">
        <v>3132</v>
      </c>
      <c r="F148" s="125">
        <v>139000</v>
      </c>
      <c r="G148" s="124">
        <f>41016+68802+29182-95704</f>
        <v>43296</v>
      </c>
      <c r="H148" s="187">
        <f>41016+2280</f>
        <v>43296</v>
      </c>
      <c r="I148" s="124">
        <f>SUM(G148-H148)</f>
        <v>0</v>
      </c>
      <c r="J148" s="115">
        <f>88868+6836</f>
        <v>95704</v>
      </c>
      <c r="K148" s="168"/>
      <c r="L148" s="169"/>
    </row>
    <row r="149" spans="1:12" ht="15.75">
      <c r="A149" s="128">
        <v>114</v>
      </c>
      <c r="B149" s="209"/>
      <c r="C149" s="208"/>
      <c r="D149" s="210" t="s">
        <v>235</v>
      </c>
      <c r="E149" s="151">
        <v>3132</v>
      </c>
      <c r="F149" s="125">
        <v>98298</v>
      </c>
      <c r="G149" s="124">
        <f>38940+59358-59358</f>
        <v>38940</v>
      </c>
      <c r="H149" s="187">
        <f>38940</f>
        <v>38940</v>
      </c>
      <c r="I149" s="124">
        <f>SUM(G149-H149)</f>
        <v>0</v>
      </c>
      <c r="J149" s="115">
        <v>59358</v>
      </c>
      <c r="K149" s="168"/>
      <c r="L149" s="169"/>
    </row>
    <row r="150" spans="1:12" ht="15.75">
      <c r="A150" s="128">
        <v>115</v>
      </c>
      <c r="B150" s="209"/>
      <c r="C150" s="208"/>
      <c r="D150" s="210" t="s">
        <v>234</v>
      </c>
      <c r="E150" s="151">
        <v>2240</v>
      </c>
      <c r="F150" s="125">
        <v>99000</v>
      </c>
      <c r="G150" s="124">
        <f>29270+8293.77+61436.23-68298</f>
        <v>30702</v>
      </c>
      <c r="H150" s="187">
        <f>29270+1432</f>
        <v>30702</v>
      </c>
      <c r="I150" s="124">
        <f>SUM(G150-H150)</f>
        <v>0</v>
      </c>
      <c r="J150" s="115">
        <f>68298</f>
        <v>68298</v>
      </c>
      <c r="K150" s="168"/>
      <c r="L150" s="167"/>
    </row>
    <row r="151" spans="1:12" ht="15.75">
      <c r="A151" s="128">
        <v>116</v>
      </c>
      <c r="B151" s="209"/>
      <c r="C151" s="208"/>
      <c r="D151" s="210" t="s">
        <v>233</v>
      </c>
      <c r="E151" s="151">
        <v>2240</v>
      </c>
      <c r="F151" s="125">
        <v>45000</v>
      </c>
      <c r="G151" s="124">
        <f>45000-44349</f>
        <v>651</v>
      </c>
      <c r="H151" s="187">
        <f>651</f>
        <v>651</v>
      </c>
      <c r="I151" s="124">
        <f>SUM(G151-H151)</f>
        <v>0</v>
      </c>
      <c r="J151" s="115">
        <f>44349</f>
        <v>44349</v>
      </c>
      <c r="K151" s="168"/>
      <c r="L151" s="168"/>
    </row>
    <row r="152" spans="1:12" ht="15.75">
      <c r="A152" s="128">
        <v>117</v>
      </c>
      <c r="B152" s="209"/>
      <c r="C152" s="208"/>
      <c r="D152" s="210" t="s">
        <v>232</v>
      </c>
      <c r="E152" s="151">
        <v>2240</v>
      </c>
      <c r="F152" s="125">
        <v>99000</v>
      </c>
      <c r="G152" s="124">
        <f>29270+69730-68298</f>
        <v>30702</v>
      </c>
      <c r="H152" s="187">
        <f>29270+1432</f>
        <v>30702</v>
      </c>
      <c r="I152" s="124">
        <f>SUM(G152-H152)</f>
        <v>0</v>
      </c>
      <c r="J152" s="115">
        <f>68298</f>
        <v>68298</v>
      </c>
      <c r="K152" s="168"/>
      <c r="L152" s="168"/>
    </row>
    <row r="153" spans="1:12" ht="15.75">
      <c r="A153" s="128"/>
      <c r="B153" s="209"/>
      <c r="C153" s="208"/>
      <c r="D153" s="154" t="s">
        <v>231</v>
      </c>
      <c r="E153" s="151"/>
      <c r="F153" s="141">
        <f>SUM(F154:F154)</f>
        <v>500000</v>
      </c>
      <c r="G153" s="140">
        <f>SUM(G154:G154)</f>
        <v>6860</v>
      </c>
      <c r="H153" s="140">
        <f>SUM(H154:H154)</f>
        <v>6860</v>
      </c>
      <c r="I153" s="140">
        <f>SUM(I154:I154)</f>
        <v>0</v>
      </c>
      <c r="J153" s="121">
        <f>SUM(J154:J154)</f>
        <v>389090</v>
      </c>
      <c r="K153" s="173">
        <f>SUM(K154:K154)</f>
        <v>0</v>
      </c>
      <c r="L153" s="173">
        <f>SUM(L154:L154)</f>
        <v>0</v>
      </c>
    </row>
    <row r="154" spans="1:12" ht="15.75">
      <c r="A154" s="128">
        <v>118</v>
      </c>
      <c r="B154" s="209"/>
      <c r="C154" s="208"/>
      <c r="D154" s="210" t="s">
        <v>230</v>
      </c>
      <c r="E154" s="151">
        <v>3132</v>
      </c>
      <c r="F154" s="125">
        <v>500000</v>
      </c>
      <c r="G154" s="124">
        <f>6860+389090-389090</f>
        <v>6860</v>
      </c>
      <c r="H154" s="187">
        <f>6860</f>
        <v>6860</v>
      </c>
      <c r="I154" s="187">
        <f>SUM(G154-H154)</f>
        <v>0</v>
      </c>
      <c r="J154" s="115">
        <f>389090</f>
        <v>389090</v>
      </c>
      <c r="K154" s="168"/>
      <c r="L154" s="116"/>
    </row>
    <row r="155" spans="1:12" ht="15.75">
      <c r="A155" s="128"/>
      <c r="B155" s="209"/>
      <c r="C155" s="208"/>
      <c r="D155" s="212" t="s">
        <v>229</v>
      </c>
      <c r="E155" s="151"/>
      <c r="F155" s="211">
        <f>SUM(F156:F156)</f>
        <v>1263200</v>
      </c>
      <c r="G155" s="211">
        <f>SUM(G156:G156)</f>
        <v>324251.87</v>
      </c>
      <c r="H155" s="140">
        <f>SUM(H156:H156)</f>
        <v>324251.87</v>
      </c>
      <c r="I155" s="140">
        <f>SUM(I156:I156)</f>
        <v>0</v>
      </c>
      <c r="J155" s="121">
        <f>SUM(J156:J156)</f>
        <v>219584.13</v>
      </c>
      <c r="K155" s="168">
        <f>SUM(K156:K156)</f>
        <v>0</v>
      </c>
      <c r="L155" s="168">
        <f>SUM(L156:L156)</f>
        <v>0</v>
      </c>
    </row>
    <row r="156" spans="1:12" ht="15.75">
      <c r="A156" s="128">
        <v>119</v>
      </c>
      <c r="B156" s="209"/>
      <c r="C156" s="208"/>
      <c r="D156" s="210" t="s">
        <v>228</v>
      </c>
      <c r="E156" s="151">
        <v>3142</v>
      </c>
      <c r="F156" s="125">
        <v>1263200</v>
      </c>
      <c r="G156" s="124">
        <f>1263200-938948.13</f>
        <v>324251.87</v>
      </c>
      <c r="H156" s="187">
        <f>174213+9350+38808.81+101880.06</f>
        <v>324251.87</v>
      </c>
      <c r="I156" s="124">
        <f>SUM(G156-H156)</f>
        <v>0</v>
      </c>
      <c r="J156" s="186">
        <f>321464.19-101880.06</f>
        <v>219584.13</v>
      </c>
      <c r="K156" s="168"/>
      <c r="L156" s="167"/>
    </row>
    <row r="157" spans="1:12" ht="15.75">
      <c r="A157" s="80"/>
      <c r="B157" s="209">
        <v>138</v>
      </c>
      <c r="C157" s="208"/>
      <c r="D157" s="207" t="s">
        <v>227</v>
      </c>
      <c r="E157" s="126"/>
      <c r="F157" s="206">
        <f>SUM(F158:F161)</f>
        <v>528800</v>
      </c>
      <c r="G157" s="205">
        <f>SUM(G158:G161)</f>
        <v>275516</v>
      </c>
      <c r="H157" s="205">
        <f>SUM(H158:H161)</f>
        <v>275516</v>
      </c>
      <c r="I157" s="205">
        <f>SUM(I158:I161)</f>
        <v>0</v>
      </c>
      <c r="J157" s="121">
        <f>SUM(J158:J162)</f>
        <v>272862</v>
      </c>
      <c r="K157" s="173">
        <f>SUM(K158:K161)</f>
        <v>0</v>
      </c>
      <c r="L157" s="173">
        <f>SUM(L158:L161)</f>
        <v>0</v>
      </c>
    </row>
    <row r="158" spans="1:12" ht="15.75">
      <c r="A158" s="202">
        <v>120</v>
      </c>
      <c r="B158" s="72"/>
      <c r="C158" s="72"/>
      <c r="D158" s="158" t="s">
        <v>226</v>
      </c>
      <c r="E158" s="151">
        <v>3132</v>
      </c>
      <c r="F158" s="188">
        <v>76800</v>
      </c>
      <c r="G158" s="201">
        <f>76800-76800</f>
        <v>0</v>
      </c>
      <c r="H158" s="204"/>
      <c r="I158" s="124">
        <f>SUM(G158-H158)</f>
        <v>0</v>
      </c>
      <c r="J158" s="186">
        <v>76800</v>
      </c>
      <c r="K158" s="173"/>
      <c r="L158" s="185"/>
    </row>
    <row r="159" spans="1:12" ht="15.75">
      <c r="A159" s="202">
        <v>121</v>
      </c>
      <c r="B159" s="72"/>
      <c r="C159" s="72"/>
      <c r="D159" s="158" t="s">
        <v>225</v>
      </c>
      <c r="E159" s="151">
        <v>3132</v>
      </c>
      <c r="F159" s="188">
        <v>200000</v>
      </c>
      <c r="G159" s="201">
        <f>64319.84-877.84+136558-136558</f>
        <v>63442</v>
      </c>
      <c r="H159" s="201">
        <f>63442</f>
        <v>63442</v>
      </c>
      <c r="I159" s="124">
        <f>SUM(G159-H159)</f>
        <v>0</v>
      </c>
      <c r="J159" s="115">
        <v>136558</v>
      </c>
      <c r="K159" s="173"/>
      <c r="L159" s="203"/>
    </row>
    <row r="160" spans="1:12" ht="15.75">
      <c r="A160" s="202">
        <v>122</v>
      </c>
      <c r="B160" s="72"/>
      <c r="C160" s="72"/>
      <c r="D160" s="158" t="s">
        <v>224</v>
      </c>
      <c r="E160" s="151">
        <v>3132</v>
      </c>
      <c r="F160" s="188">
        <v>210000</v>
      </c>
      <c r="G160" s="201">
        <f>107195-29182-11917+143904-11016</f>
        <v>198984</v>
      </c>
      <c r="H160" s="201">
        <f>66096+2780+130108</f>
        <v>198984</v>
      </c>
      <c r="I160" s="124">
        <f>SUM(G160-H160)</f>
        <v>0</v>
      </c>
      <c r="J160" s="115">
        <v>11016</v>
      </c>
      <c r="K160" s="173"/>
      <c r="L160" s="170"/>
    </row>
    <row r="161" spans="1:12" ht="15.75">
      <c r="A161" s="202">
        <v>123</v>
      </c>
      <c r="B161" s="72"/>
      <c r="C161" s="72"/>
      <c r="D161" s="158" t="s">
        <v>223</v>
      </c>
      <c r="E161" s="151">
        <v>2240</v>
      </c>
      <c r="F161" s="188">
        <v>42000</v>
      </c>
      <c r="G161" s="201">
        <f>11781.99+12218.01-11610+29610-28910</f>
        <v>13090</v>
      </c>
      <c r="H161" s="201">
        <f>12390+700</f>
        <v>13090</v>
      </c>
      <c r="I161" s="124">
        <f>SUM(G161-H161)</f>
        <v>0</v>
      </c>
      <c r="J161" s="115">
        <f>28910</f>
        <v>28910</v>
      </c>
      <c r="K161" s="173"/>
      <c r="L161" s="170"/>
    </row>
    <row r="162" spans="1:12" s="136" customFormat="1" ht="15.75">
      <c r="A162" s="128">
        <v>124</v>
      </c>
      <c r="B162" s="80"/>
      <c r="C162" s="80"/>
      <c r="D162" s="127" t="s">
        <v>222</v>
      </c>
      <c r="E162" s="126">
        <v>2240</v>
      </c>
      <c r="F162" s="125">
        <v>19578</v>
      </c>
      <c r="G162" s="124">
        <v>0</v>
      </c>
      <c r="H162" s="124"/>
      <c r="I162" s="124">
        <v>0</v>
      </c>
      <c r="J162" s="115">
        <v>19578</v>
      </c>
      <c r="K162" s="138"/>
      <c r="L162" s="200"/>
    </row>
    <row r="163" spans="1:12" ht="15.75">
      <c r="A163" s="135"/>
      <c r="D163" s="199" t="s">
        <v>221</v>
      </c>
      <c r="E163" s="133"/>
      <c r="F163" s="198">
        <f>SUM(F164:F182)</f>
        <v>1724000</v>
      </c>
      <c r="G163" s="174">
        <f>SUM(G164:G182)</f>
        <v>754029.8</v>
      </c>
      <c r="H163" s="174">
        <f>SUM(H164:H182)</f>
        <v>754029.8</v>
      </c>
      <c r="I163" s="174">
        <f>SUM(I164:I182)</f>
        <v>0</v>
      </c>
      <c r="J163" s="197">
        <f>SUM(J164:J182)</f>
        <v>914944.2</v>
      </c>
      <c r="K163" s="122">
        <f>SUM(K164:K182)</f>
        <v>0</v>
      </c>
      <c r="L163" s="122">
        <f>SUM(L164:L182)</f>
        <v>0</v>
      </c>
    </row>
    <row r="164" spans="1:12" ht="15.75">
      <c r="A164" s="128">
        <v>125</v>
      </c>
      <c r="B164" s="80"/>
      <c r="C164" s="80"/>
      <c r="D164" s="127" t="s">
        <v>220</v>
      </c>
      <c r="E164" s="126">
        <v>3132</v>
      </c>
      <c r="F164" s="125">
        <v>102000</v>
      </c>
      <c r="G164" s="124">
        <f>28861+61486.44+7452.56-67344</f>
        <v>30456</v>
      </c>
      <c r="H164" s="124">
        <f>28861+1595</f>
        <v>30456</v>
      </c>
      <c r="I164" s="124">
        <f>SUM(G164-H164)</f>
        <v>0</v>
      </c>
      <c r="J164" s="115">
        <f>67344</f>
        <v>67344</v>
      </c>
      <c r="K164" s="173"/>
      <c r="L164" s="169"/>
    </row>
    <row r="165" spans="1:12" ht="15.75">
      <c r="A165" s="128">
        <v>126</v>
      </c>
      <c r="B165" s="80"/>
      <c r="C165" s="80"/>
      <c r="D165" s="127" t="s">
        <v>219</v>
      </c>
      <c r="E165" s="126">
        <v>3132</v>
      </c>
      <c r="F165" s="125">
        <v>102000</v>
      </c>
      <c r="G165" s="124">
        <f>40260.93+57339.07+100-4801</f>
        <v>92899</v>
      </c>
      <c r="H165" s="124">
        <f>1694+91205</f>
        <v>92899</v>
      </c>
      <c r="I165" s="124">
        <f>SUM(G165-H165)</f>
        <v>0</v>
      </c>
      <c r="J165" s="115">
        <v>4801</v>
      </c>
      <c r="K165" s="173"/>
      <c r="L165" s="169"/>
    </row>
    <row r="166" spans="1:12" ht="15.75">
      <c r="A166" s="194">
        <v>127</v>
      </c>
      <c r="D166" s="193" t="s">
        <v>218</v>
      </c>
      <c r="E166" s="157">
        <v>3132</v>
      </c>
      <c r="F166" s="164">
        <v>136000</v>
      </c>
      <c r="G166" s="163">
        <f>2230+133770-133770</f>
        <v>2230</v>
      </c>
      <c r="H166" s="163">
        <f>2230</f>
        <v>2230</v>
      </c>
      <c r="I166" s="162">
        <f>SUM(G166-H166)</f>
        <v>0</v>
      </c>
      <c r="J166" s="161">
        <f>133770</f>
        <v>133770</v>
      </c>
      <c r="K166" s="196"/>
      <c r="L166" s="159"/>
    </row>
    <row r="167" spans="1:12" ht="15.75">
      <c r="A167" s="135">
        <v>128</v>
      </c>
      <c r="D167" s="127" t="s">
        <v>217</v>
      </c>
      <c r="E167" s="151">
        <v>3132</v>
      </c>
      <c r="F167" s="132">
        <v>102000</v>
      </c>
      <c r="G167" s="131">
        <f>102000-5017</f>
        <v>96983</v>
      </c>
      <c r="H167" s="131">
        <f>1673+95310</f>
        <v>96983</v>
      </c>
      <c r="I167" s="124">
        <f>SUM(G167-H167)</f>
        <v>0</v>
      </c>
      <c r="J167" s="130">
        <v>5017</v>
      </c>
      <c r="K167" s="122"/>
      <c r="L167" s="148"/>
    </row>
    <row r="168" spans="1:12" ht="15.75">
      <c r="A168" s="135">
        <v>129</v>
      </c>
      <c r="D168" s="127" t="s">
        <v>216</v>
      </c>
      <c r="E168" s="151">
        <v>3132</v>
      </c>
      <c r="F168" s="132">
        <v>178000</v>
      </c>
      <c r="G168" s="131">
        <f>174600-122210-862+123272-8589</f>
        <v>166211</v>
      </c>
      <c r="H168" s="131">
        <f>51528+3039+111644</f>
        <v>166211</v>
      </c>
      <c r="I168" s="124">
        <f>SUM(G168-H168)</f>
        <v>0</v>
      </c>
      <c r="J168" s="145">
        <v>8589</v>
      </c>
      <c r="K168" s="122"/>
      <c r="L168" s="129"/>
    </row>
    <row r="169" spans="1:12" ht="15.75">
      <c r="A169" s="135">
        <v>130</v>
      </c>
      <c r="D169" s="127" t="s">
        <v>215</v>
      </c>
      <c r="E169" s="151">
        <v>3132</v>
      </c>
      <c r="F169" s="132">
        <v>136000</v>
      </c>
      <c r="G169" s="131">
        <f>103078.41-70058+28421.59-22647+90523+2260-90523</f>
        <v>41055</v>
      </c>
      <c r="H169" s="131">
        <f>38795+2260</f>
        <v>41055</v>
      </c>
      <c r="I169" s="124">
        <f>SUM(G169-H169)</f>
        <v>0</v>
      </c>
      <c r="J169" s="130">
        <f>84057+6466</f>
        <v>90523</v>
      </c>
      <c r="K169" s="122"/>
      <c r="L169" s="192"/>
    </row>
    <row r="170" spans="1:12" ht="15.75">
      <c r="A170" s="135">
        <v>131</v>
      </c>
      <c r="D170" s="127" t="s">
        <v>214</v>
      </c>
      <c r="E170" s="151">
        <v>3132</v>
      </c>
      <c r="F170" s="132">
        <v>102000</v>
      </c>
      <c r="G170" s="131">
        <f>102000-5017</f>
        <v>96983</v>
      </c>
      <c r="H170" s="131">
        <f>1673+95310</f>
        <v>96983</v>
      </c>
      <c r="I170" s="124">
        <f>SUM(G170-H170)</f>
        <v>0</v>
      </c>
      <c r="J170" s="130">
        <v>5017</v>
      </c>
      <c r="K170" s="122"/>
      <c r="L170" s="148"/>
    </row>
    <row r="171" spans="1:12" ht="15.75">
      <c r="A171" s="135">
        <v>132</v>
      </c>
      <c r="D171" s="127" t="s">
        <v>213</v>
      </c>
      <c r="E171" s="195">
        <v>3132</v>
      </c>
      <c r="F171" s="132">
        <v>102000</v>
      </c>
      <c r="G171" s="131">
        <f>29252+69978-68255</f>
        <v>30975</v>
      </c>
      <c r="H171" s="131">
        <f>29252+1723</f>
        <v>30975</v>
      </c>
      <c r="I171" s="124">
        <f>SUM(G171-H171)</f>
        <v>0</v>
      </c>
      <c r="J171" s="130">
        <f>63379+4876</f>
        <v>68255</v>
      </c>
      <c r="K171" s="129"/>
      <c r="L171" s="148"/>
    </row>
    <row r="172" spans="1:12" ht="15.75">
      <c r="A172" s="128">
        <v>133</v>
      </c>
      <c r="B172" s="80"/>
      <c r="C172" s="80"/>
      <c r="D172" s="127" t="s">
        <v>212</v>
      </c>
      <c r="E172" s="195">
        <v>3132</v>
      </c>
      <c r="F172" s="125">
        <v>30000</v>
      </c>
      <c r="G172" s="124">
        <f>30000-29500</f>
        <v>500</v>
      </c>
      <c r="H172" s="124">
        <f>500</f>
        <v>500</v>
      </c>
      <c r="I172" s="124">
        <f>SUM(G172-H172)</f>
        <v>0</v>
      </c>
      <c r="J172" s="115">
        <f>28025+1475</f>
        <v>29500</v>
      </c>
      <c r="K172" s="168"/>
      <c r="L172" s="167"/>
    </row>
    <row r="173" spans="1:12" ht="15.75">
      <c r="A173" s="135">
        <v>134</v>
      </c>
      <c r="D173" s="127" t="s">
        <v>211</v>
      </c>
      <c r="E173" s="151">
        <v>3132</v>
      </c>
      <c r="F173" s="132">
        <v>100000</v>
      </c>
      <c r="G173" s="131">
        <f>97670-95990</f>
        <v>1680</v>
      </c>
      <c r="H173" s="131">
        <f>1680</f>
        <v>1680</v>
      </c>
      <c r="I173" s="124">
        <f>SUM(G173-H173)</f>
        <v>0</v>
      </c>
      <c r="J173" s="130">
        <f>95990</f>
        <v>95990</v>
      </c>
      <c r="K173" s="129"/>
      <c r="L173" s="192"/>
    </row>
    <row r="174" spans="1:12" ht="15.75">
      <c r="A174" s="135">
        <v>135</v>
      </c>
      <c r="D174" s="127" t="s">
        <v>210</v>
      </c>
      <c r="E174" s="151">
        <v>3132</v>
      </c>
      <c r="F174" s="132">
        <v>53000</v>
      </c>
      <c r="G174" s="131">
        <f>17861.9-2933.9+35702-34832</f>
        <v>15798</v>
      </c>
      <c r="H174" s="131">
        <f>14928+870</f>
        <v>15798</v>
      </c>
      <c r="I174" s="124">
        <f>SUM(G174-H174)</f>
        <v>0</v>
      </c>
      <c r="J174" s="130">
        <f>32344+2488</f>
        <v>34832</v>
      </c>
      <c r="K174" s="129"/>
      <c r="L174" s="148"/>
    </row>
    <row r="175" spans="1:12" ht="15.75">
      <c r="A175" s="135">
        <v>136</v>
      </c>
      <c r="D175" s="127" t="s">
        <v>209</v>
      </c>
      <c r="E175" s="151">
        <v>3132</v>
      </c>
      <c r="F175" s="132">
        <v>102000</v>
      </c>
      <c r="G175" s="131">
        <f>97600-68802+67198+1680-67198</f>
        <v>30478</v>
      </c>
      <c r="H175" s="131">
        <f>28798+1680</f>
        <v>30478</v>
      </c>
      <c r="I175" s="124">
        <f>SUM(G175-H175)</f>
        <v>0</v>
      </c>
      <c r="J175" s="130">
        <f>62398+4800</f>
        <v>67198</v>
      </c>
      <c r="K175" s="129"/>
      <c r="L175" s="192"/>
    </row>
    <row r="176" spans="1:12" ht="15.75">
      <c r="A176" s="135">
        <v>137</v>
      </c>
      <c r="D176" s="127" t="s">
        <v>208</v>
      </c>
      <c r="E176" s="151">
        <v>3132</v>
      </c>
      <c r="F176" s="132">
        <v>102000</v>
      </c>
      <c r="G176" s="131">
        <f>34032+63209+1999-63209</f>
        <v>36031</v>
      </c>
      <c r="H176" s="131">
        <f>34032+1999</f>
        <v>36031</v>
      </c>
      <c r="I176" s="124">
        <f>SUM(G176-H176)</f>
        <v>0</v>
      </c>
      <c r="J176" s="130">
        <f>57536+5673</f>
        <v>63209</v>
      </c>
      <c r="K176" s="129"/>
      <c r="L176" s="192"/>
    </row>
    <row r="177" spans="1:12" ht="15.75">
      <c r="A177" s="135">
        <v>138</v>
      </c>
      <c r="D177" s="127" t="s">
        <v>207</v>
      </c>
      <c r="E177" s="151">
        <v>3132</v>
      </c>
      <c r="F177" s="132">
        <v>115000</v>
      </c>
      <c r="G177" s="131">
        <f>115000-5664.2</f>
        <v>109335.8</v>
      </c>
      <c r="H177" s="131">
        <f>1730.8+107605</f>
        <v>109335.8</v>
      </c>
      <c r="I177" s="124">
        <f>SUM(G177-H177)</f>
        <v>0</v>
      </c>
      <c r="J177" s="130">
        <v>5664.2</v>
      </c>
      <c r="K177" s="129"/>
      <c r="L177" s="148"/>
    </row>
    <row r="178" spans="1:12" ht="15.75">
      <c r="A178" s="135">
        <v>139</v>
      </c>
      <c r="D178" s="127" t="s">
        <v>206</v>
      </c>
      <c r="E178" s="151">
        <v>2240</v>
      </c>
      <c r="F178" s="132">
        <v>64000</v>
      </c>
      <c r="G178" s="131">
        <f>64000-63074</f>
        <v>926</v>
      </c>
      <c r="H178" s="131">
        <f>926</f>
        <v>926</v>
      </c>
      <c r="I178" s="124">
        <f>SUM(G178-H178)</f>
        <v>0</v>
      </c>
      <c r="J178" s="145">
        <f>63074</f>
        <v>63074</v>
      </c>
      <c r="K178" s="129"/>
      <c r="L178" s="148"/>
    </row>
    <row r="179" spans="1:12" ht="15.75">
      <c r="A179" s="135">
        <v>140</v>
      </c>
      <c r="D179" s="127" t="s">
        <v>205</v>
      </c>
      <c r="E179" s="151">
        <v>2240</v>
      </c>
      <c r="F179" s="132">
        <v>48000</v>
      </c>
      <c r="G179" s="131">
        <f>48000-47306</f>
        <v>694</v>
      </c>
      <c r="H179" s="149">
        <f>694</f>
        <v>694</v>
      </c>
      <c r="I179" s="124">
        <f>SUM(G179-H179)</f>
        <v>0</v>
      </c>
      <c r="J179" s="130">
        <f>47306</f>
        <v>47306</v>
      </c>
      <c r="K179" s="129"/>
      <c r="L179" s="148"/>
    </row>
    <row r="180" spans="1:12" ht="15.75">
      <c r="A180" s="194">
        <v>141</v>
      </c>
      <c r="D180" s="193" t="s">
        <v>204</v>
      </c>
      <c r="E180" s="157">
        <v>2240</v>
      </c>
      <c r="F180" s="164">
        <v>30000</v>
      </c>
      <c r="G180" s="163">
        <f>3.58+29996.42-29560</f>
        <v>440</v>
      </c>
      <c r="H180" s="163">
        <f>440</f>
        <v>440</v>
      </c>
      <c r="I180" s="162">
        <f>SUM(G180-H180)</f>
        <v>0</v>
      </c>
      <c r="J180" s="161">
        <f>29560</f>
        <v>29560</v>
      </c>
      <c r="K180" s="160"/>
      <c r="L180" s="159"/>
    </row>
    <row r="181" spans="1:12" ht="15.75">
      <c r="A181" s="135">
        <v>142</v>
      </c>
      <c r="D181" s="127" t="s">
        <v>203</v>
      </c>
      <c r="E181" s="151">
        <v>2240</v>
      </c>
      <c r="F181" s="132">
        <v>72000</v>
      </c>
      <c r="G181" s="131">
        <f>72000-72000</f>
        <v>0</v>
      </c>
      <c r="H181" s="149"/>
      <c r="I181" s="124">
        <f>SUM(G181-H181)</f>
        <v>0</v>
      </c>
      <c r="J181" s="130">
        <v>72000</v>
      </c>
      <c r="K181" s="129"/>
      <c r="L181" s="192"/>
    </row>
    <row r="182" spans="1:12" ht="15.75">
      <c r="A182" s="135">
        <v>143</v>
      </c>
      <c r="D182" s="127" t="s">
        <v>202</v>
      </c>
      <c r="E182" s="151">
        <v>2240</v>
      </c>
      <c r="F182" s="132">
        <v>48000</v>
      </c>
      <c r="G182" s="131">
        <f>355+6606.12+16688.88-23295</f>
        <v>355</v>
      </c>
      <c r="H182" s="131">
        <f>355</f>
        <v>355</v>
      </c>
      <c r="I182" s="124">
        <f>SUM(G182-H182)</f>
        <v>0</v>
      </c>
      <c r="J182" s="130">
        <v>23295</v>
      </c>
      <c r="K182" s="129"/>
      <c r="L182" s="148"/>
    </row>
    <row r="183" spans="1:12" ht="15.75">
      <c r="A183" s="191"/>
      <c r="D183" s="176" t="s">
        <v>201</v>
      </c>
      <c r="E183" s="151"/>
      <c r="F183" s="175">
        <f>SUM(F184:F194)</f>
        <v>1003830</v>
      </c>
      <c r="G183" s="174">
        <f>SUM(G184:G194)</f>
        <v>386062</v>
      </c>
      <c r="H183" s="174">
        <f>SUM(H184:H194)</f>
        <v>386062</v>
      </c>
      <c r="I183" s="174">
        <f>SUM(I184:I194)</f>
        <v>0</v>
      </c>
      <c r="J183" s="121">
        <f>SUM(J184:J194)</f>
        <v>396354</v>
      </c>
      <c r="K183" s="173">
        <f>SUM(K184:K194)</f>
        <v>0</v>
      </c>
      <c r="L183" s="173">
        <f>SUM(L184:L194)</f>
        <v>0</v>
      </c>
    </row>
    <row r="184" spans="1:12" ht="23.25" customHeight="1">
      <c r="A184" s="190">
        <v>144</v>
      </c>
      <c r="D184" s="177" t="s">
        <v>200</v>
      </c>
      <c r="E184" s="151">
        <v>3132</v>
      </c>
      <c r="F184" s="132">
        <v>127935</v>
      </c>
      <c r="G184" s="131">
        <f>73529.89+54405.11-125740</f>
        <v>2195</v>
      </c>
      <c r="H184" s="131">
        <f>2195</f>
        <v>2195</v>
      </c>
      <c r="I184" s="124">
        <f>SUM(G184-H184)</f>
        <v>0</v>
      </c>
      <c r="J184" s="115">
        <f>125740</f>
        <v>125740</v>
      </c>
      <c r="K184" s="122"/>
      <c r="L184" s="189"/>
    </row>
    <row r="185" spans="1:12" ht="30">
      <c r="A185" s="190">
        <v>145</v>
      </c>
      <c r="D185" s="177" t="s">
        <v>199</v>
      </c>
      <c r="E185" s="151">
        <v>3132</v>
      </c>
      <c r="F185" s="132">
        <v>45075</v>
      </c>
      <c r="G185" s="131">
        <f>45075-4872-26330</f>
        <v>13873</v>
      </c>
      <c r="H185" s="131">
        <f>13200+673</f>
        <v>13873</v>
      </c>
      <c r="I185" s="124">
        <f>SUM(G185-H185)</f>
        <v>0</v>
      </c>
      <c r="J185" s="115">
        <f>26330</f>
        <v>26330</v>
      </c>
      <c r="K185" s="122"/>
      <c r="L185" s="189"/>
    </row>
    <row r="186" spans="1:12" ht="15.75">
      <c r="A186" s="156">
        <v>146</v>
      </c>
      <c r="D186" s="177" t="s">
        <v>198</v>
      </c>
      <c r="E186" s="151">
        <v>3132</v>
      </c>
      <c r="F186" s="188">
        <v>89089</v>
      </c>
      <c r="G186" s="187">
        <f>89089-41912.89-610-3207-2349.11+1689+46390-46390</f>
        <v>42699</v>
      </c>
      <c r="H186" s="124">
        <f>41010+1689</f>
        <v>42699</v>
      </c>
      <c r="I186" s="124">
        <f>SUM(G186-H186)</f>
        <v>0</v>
      </c>
      <c r="J186" s="186">
        <f>46390</f>
        <v>46390</v>
      </c>
      <c r="K186" s="185"/>
      <c r="L186" s="167"/>
    </row>
    <row r="187" spans="1:12" ht="15.75">
      <c r="A187" s="156">
        <v>147</v>
      </c>
      <c r="D187" s="177" t="s">
        <v>197</v>
      </c>
      <c r="E187" s="151">
        <v>3132</v>
      </c>
      <c r="F187" s="125">
        <v>131073</v>
      </c>
      <c r="G187" s="124">
        <f>126510-6220</f>
        <v>120290</v>
      </c>
      <c r="H187" s="131">
        <f>38610+2120+79560</f>
        <v>120290</v>
      </c>
      <c r="I187" s="124">
        <f>SUM(G187-H187)</f>
        <v>0</v>
      </c>
      <c r="J187" s="115">
        <v>6220</v>
      </c>
      <c r="K187" s="168"/>
      <c r="L187" s="170"/>
    </row>
    <row r="188" spans="1:12" ht="15.75">
      <c r="A188" s="156">
        <v>148</v>
      </c>
      <c r="D188" s="177" t="s">
        <v>196</v>
      </c>
      <c r="E188" s="151">
        <v>3132</v>
      </c>
      <c r="F188" s="188">
        <v>350097</v>
      </c>
      <c r="G188" s="187">
        <f>103302+2278+32538-32538</f>
        <v>105580</v>
      </c>
      <c r="H188" s="131">
        <f>103302+2278</f>
        <v>105580</v>
      </c>
      <c r="I188" s="124">
        <f>SUM(G188-H188)</f>
        <v>0</v>
      </c>
      <c r="J188" s="186">
        <f>32538</f>
        <v>32538</v>
      </c>
      <c r="K188" s="185"/>
      <c r="L188" s="169"/>
    </row>
    <row r="189" spans="1:12" ht="15.75">
      <c r="A189" s="156">
        <v>149</v>
      </c>
      <c r="D189" s="177" t="s">
        <v>195</v>
      </c>
      <c r="E189" s="151">
        <v>2240</v>
      </c>
      <c r="F189" s="125">
        <v>37386</v>
      </c>
      <c r="G189" s="124">
        <f>32100+5286-32100</f>
        <v>5286</v>
      </c>
      <c r="H189" s="131">
        <f>5286</f>
        <v>5286</v>
      </c>
      <c r="I189" s="124">
        <f>SUM(G189-H189)</f>
        <v>0</v>
      </c>
      <c r="J189" s="115">
        <f>32100</f>
        <v>32100</v>
      </c>
      <c r="K189" s="168"/>
      <c r="L189" s="169"/>
    </row>
    <row r="190" spans="1:12" ht="15.75">
      <c r="A190" s="156">
        <v>150</v>
      </c>
      <c r="D190" s="177" t="s">
        <v>194</v>
      </c>
      <c r="E190" s="151">
        <v>2240</v>
      </c>
      <c r="F190" s="125">
        <v>60205</v>
      </c>
      <c r="G190" s="124">
        <f>27837+32368-31493</f>
        <v>28712</v>
      </c>
      <c r="H190" s="131">
        <f>27837+875</f>
        <v>28712</v>
      </c>
      <c r="I190" s="124">
        <f>SUM(G190-H190)</f>
        <v>0</v>
      </c>
      <c r="J190" s="115">
        <f>31493</f>
        <v>31493</v>
      </c>
      <c r="K190" s="184"/>
      <c r="L190" s="168"/>
    </row>
    <row r="191" spans="1:12" ht="15.75">
      <c r="A191" s="166">
        <v>151</v>
      </c>
      <c r="D191" s="183" t="s">
        <v>193</v>
      </c>
      <c r="E191" s="157">
        <v>2240</v>
      </c>
      <c r="F191" s="182">
        <v>27551</v>
      </c>
      <c r="G191" s="162">
        <f>27551-14000-179-634+14813-14412</f>
        <v>13139</v>
      </c>
      <c r="H191" s="163">
        <f>12738+222+179</f>
        <v>13139</v>
      </c>
      <c r="I191" s="181">
        <f>SUM(G191-H191)</f>
        <v>0</v>
      </c>
      <c r="J191" s="180">
        <f>14412</f>
        <v>14412</v>
      </c>
      <c r="K191" s="179"/>
      <c r="L191" s="178"/>
    </row>
    <row r="192" spans="1:12" ht="30">
      <c r="A192" s="156">
        <v>152</v>
      </c>
      <c r="D192" s="177" t="s">
        <v>192</v>
      </c>
      <c r="E192" s="151">
        <v>2240</v>
      </c>
      <c r="F192" s="125">
        <v>41924</v>
      </c>
      <c r="G192" s="124">
        <f>19383+22541-21937</f>
        <v>19987</v>
      </c>
      <c r="H192" s="131">
        <f>19383+604</f>
        <v>19987</v>
      </c>
      <c r="I192" s="124">
        <f>SUM(G192-H192)</f>
        <v>0</v>
      </c>
      <c r="J192" s="115">
        <f>21937</f>
        <v>21937</v>
      </c>
      <c r="K192" s="168"/>
      <c r="L192" s="169"/>
    </row>
    <row r="193" spans="1:12" ht="17.25" customHeight="1">
      <c r="A193" s="156">
        <v>153</v>
      </c>
      <c r="D193" s="177" t="s">
        <v>191</v>
      </c>
      <c r="E193" s="151">
        <v>2240</v>
      </c>
      <c r="F193" s="125">
        <v>31814</v>
      </c>
      <c r="G193" s="124">
        <f>14709+14779.28+2325.72-16641</f>
        <v>15173</v>
      </c>
      <c r="H193" s="131">
        <f>14709+464</f>
        <v>15173</v>
      </c>
      <c r="I193" s="124">
        <f>SUM(G193-H193)</f>
        <v>0</v>
      </c>
      <c r="J193" s="115">
        <f>16641</f>
        <v>16641</v>
      </c>
      <c r="K193" s="168"/>
      <c r="L193" s="169"/>
    </row>
    <row r="194" spans="1:12" ht="15.75">
      <c r="A194" s="156">
        <v>154</v>
      </c>
      <c r="D194" s="177" t="s">
        <v>190</v>
      </c>
      <c r="E194" s="151">
        <v>2240</v>
      </c>
      <c r="F194" s="125">
        <v>61681</v>
      </c>
      <c r="G194" s="124">
        <f>18237+43444-42553</f>
        <v>19128</v>
      </c>
      <c r="H194" s="131">
        <f>18237+891</f>
        <v>19128</v>
      </c>
      <c r="I194" s="124">
        <f>SUM(G194-H194)</f>
        <v>0</v>
      </c>
      <c r="J194" s="115">
        <f>42553</f>
        <v>42553</v>
      </c>
      <c r="K194" s="168"/>
      <c r="L194" s="169"/>
    </row>
    <row r="195" spans="1:12" ht="15.75">
      <c r="A195" s="156"/>
      <c r="D195" s="176" t="s">
        <v>189</v>
      </c>
      <c r="E195" s="151"/>
      <c r="F195" s="175">
        <f>SUM(F196:F217)</f>
        <v>1771865</v>
      </c>
      <c r="G195" s="174">
        <f>SUM(G196:G217)</f>
        <v>251584</v>
      </c>
      <c r="H195" s="174">
        <f>SUM(H196:H217)</f>
        <v>251584</v>
      </c>
      <c r="I195" s="174">
        <f>SUM(I196:I217)</f>
        <v>0</v>
      </c>
      <c r="J195" s="121">
        <f>SUM(J196:J217)</f>
        <v>586396</v>
      </c>
      <c r="K195" s="173">
        <f>SUM(K196:K217)</f>
        <v>0</v>
      </c>
      <c r="L195" s="173">
        <f>SUM(L196:L217)</f>
        <v>0</v>
      </c>
    </row>
    <row r="196" spans="1:12" ht="15.75">
      <c r="A196" s="166">
        <v>155</v>
      </c>
      <c r="B196" s="72"/>
      <c r="C196" s="72"/>
      <c r="D196" s="158" t="s">
        <v>188</v>
      </c>
      <c r="E196" s="157">
        <v>3132</v>
      </c>
      <c r="F196" s="164">
        <v>179800</v>
      </c>
      <c r="G196" s="163">
        <f>11655-11455</f>
        <v>200</v>
      </c>
      <c r="H196" s="171">
        <f>200</f>
        <v>200</v>
      </c>
      <c r="I196" s="124">
        <f>SUM(G196-H196)</f>
        <v>0</v>
      </c>
      <c r="J196" s="172">
        <f>11455</f>
        <v>11455</v>
      </c>
      <c r="K196" s="160"/>
      <c r="L196" s="159"/>
    </row>
    <row r="197" spans="1:12" ht="15.75">
      <c r="A197" s="166">
        <v>156</v>
      </c>
      <c r="B197" s="72"/>
      <c r="C197" s="72"/>
      <c r="D197" s="158" t="s">
        <v>187</v>
      </c>
      <c r="E197" s="157">
        <v>3132</v>
      </c>
      <c r="F197" s="125">
        <v>50800</v>
      </c>
      <c r="G197" s="124">
        <f>50800-2522</f>
        <v>48278</v>
      </c>
      <c r="H197" s="124">
        <f>375+47903</f>
        <v>48278</v>
      </c>
      <c r="I197" s="124">
        <f>SUM(G197-H197)</f>
        <v>0</v>
      </c>
      <c r="J197" s="115">
        <v>2522</v>
      </c>
      <c r="K197" s="168"/>
      <c r="L197" s="169"/>
    </row>
    <row r="198" spans="1:12" ht="15.75">
      <c r="A198" s="166">
        <v>157</v>
      </c>
      <c r="B198" s="72"/>
      <c r="C198" s="72"/>
      <c r="D198" s="158" t="s">
        <v>186</v>
      </c>
      <c r="E198" s="157">
        <v>3132</v>
      </c>
      <c r="F198" s="164">
        <v>70800</v>
      </c>
      <c r="G198" s="163">
        <f>50793+20007-70800</f>
        <v>0</v>
      </c>
      <c r="H198" s="171"/>
      <c r="I198" s="124">
        <f>SUM(G198-H198)</f>
        <v>0</v>
      </c>
      <c r="J198" s="161">
        <v>70800</v>
      </c>
      <c r="K198" s="160"/>
      <c r="L198" s="159"/>
    </row>
    <row r="199" spans="1:12" ht="15.75">
      <c r="A199" s="166">
        <v>158</v>
      </c>
      <c r="B199" s="72"/>
      <c r="C199" s="72"/>
      <c r="D199" s="155" t="s">
        <v>185</v>
      </c>
      <c r="E199" s="157">
        <v>3132</v>
      </c>
      <c r="F199" s="125">
        <v>139667</v>
      </c>
      <c r="G199" s="124">
        <f>33148+71832-43676</f>
        <v>61304</v>
      </c>
      <c r="H199" s="124">
        <f>33148+1802+26354</f>
        <v>61304</v>
      </c>
      <c r="I199" s="124">
        <f>SUM(G199-H199)</f>
        <v>0</v>
      </c>
      <c r="J199" s="115">
        <v>43676</v>
      </c>
      <c r="K199" s="168"/>
      <c r="L199" s="170"/>
    </row>
    <row r="200" spans="1:12" ht="15.75">
      <c r="A200" s="166">
        <v>159</v>
      </c>
      <c r="B200" s="72"/>
      <c r="C200" s="72"/>
      <c r="D200" s="155" t="s">
        <v>184</v>
      </c>
      <c r="E200" s="157">
        <v>3132</v>
      </c>
      <c r="F200" s="164">
        <v>63700</v>
      </c>
      <c r="G200" s="163">
        <f>37929+25771-25771</f>
        <v>37929</v>
      </c>
      <c r="H200" s="163">
        <f>37929</f>
        <v>37929</v>
      </c>
      <c r="I200" s="124">
        <f>SUM(G200-H200)</f>
        <v>0</v>
      </c>
      <c r="J200" s="161">
        <v>25771</v>
      </c>
      <c r="K200" s="160"/>
      <c r="L200" s="159"/>
    </row>
    <row r="201" spans="1:12" ht="15.75">
      <c r="A201" s="166">
        <v>160</v>
      </c>
      <c r="B201" s="72"/>
      <c r="C201" s="72"/>
      <c r="D201" s="155" t="s">
        <v>183</v>
      </c>
      <c r="E201" s="157">
        <v>3132</v>
      </c>
      <c r="F201" s="125">
        <v>31300</v>
      </c>
      <c r="G201" s="124">
        <f>31300-1554</f>
        <v>29746</v>
      </c>
      <c r="H201" s="124">
        <f>231+26097+3418</f>
        <v>29746</v>
      </c>
      <c r="I201" s="124">
        <f>SUM(G201-H201)</f>
        <v>0</v>
      </c>
      <c r="J201" s="115">
        <v>1554</v>
      </c>
      <c r="K201" s="168"/>
      <c r="L201" s="169"/>
    </row>
    <row r="202" spans="1:12" ht="15.75">
      <c r="A202" s="166">
        <v>161</v>
      </c>
      <c r="B202" s="72"/>
      <c r="C202" s="72"/>
      <c r="D202" s="155" t="s">
        <v>182</v>
      </c>
      <c r="E202" s="157">
        <v>3132</v>
      </c>
      <c r="F202" s="164">
        <v>34165</v>
      </c>
      <c r="G202" s="163">
        <f>34165-33604</f>
        <v>561</v>
      </c>
      <c r="H202" s="163">
        <f>561</f>
        <v>561</v>
      </c>
      <c r="I202" s="124">
        <f>SUM(G202-H202)</f>
        <v>0</v>
      </c>
      <c r="J202" s="161">
        <f>33604</f>
        <v>33604</v>
      </c>
      <c r="K202" s="160"/>
      <c r="L202" s="159"/>
    </row>
    <row r="203" spans="1:12" ht="15.75">
      <c r="A203" s="166">
        <v>162</v>
      </c>
      <c r="B203" s="72"/>
      <c r="C203" s="72"/>
      <c r="D203" s="155" t="s">
        <v>181</v>
      </c>
      <c r="E203" s="157">
        <v>3132</v>
      </c>
      <c r="F203" s="125">
        <v>740833</v>
      </c>
      <c r="G203" s="124">
        <f>148+8482-8482</f>
        <v>148</v>
      </c>
      <c r="H203" s="124">
        <f>148</f>
        <v>148</v>
      </c>
      <c r="I203" s="124">
        <f>SUM(G203-H203)</f>
        <v>0</v>
      </c>
      <c r="J203" s="115">
        <f>8482+1150</f>
        <v>9632</v>
      </c>
      <c r="K203" s="168"/>
      <c r="L203" s="169"/>
    </row>
    <row r="204" spans="1:12" ht="15.75">
      <c r="A204" s="166">
        <v>163</v>
      </c>
      <c r="D204" s="158" t="s">
        <v>180</v>
      </c>
      <c r="E204" s="157">
        <v>2240</v>
      </c>
      <c r="F204" s="164">
        <v>6600</v>
      </c>
      <c r="G204" s="163">
        <f>2547.92+3954.08+98-6502</f>
        <v>98</v>
      </c>
      <c r="H204" s="163">
        <f>98</f>
        <v>98</v>
      </c>
      <c r="I204" s="124">
        <f>SUM(G204-H204)</f>
        <v>0</v>
      </c>
      <c r="J204" s="161">
        <f>6502</f>
        <v>6502</v>
      </c>
      <c r="K204" s="160"/>
      <c r="L204" s="159"/>
    </row>
    <row r="205" spans="1:12" ht="15.75">
      <c r="A205" s="156">
        <v>164</v>
      </c>
      <c r="B205" s="80"/>
      <c r="C205" s="80"/>
      <c r="D205" s="158" t="s">
        <v>179</v>
      </c>
      <c r="E205" s="126">
        <v>2240</v>
      </c>
      <c r="F205" s="125">
        <v>10900</v>
      </c>
      <c r="G205" s="124">
        <f>10740+160-10740</f>
        <v>160</v>
      </c>
      <c r="H205" s="124">
        <f>160</f>
        <v>160</v>
      </c>
      <c r="I205" s="124">
        <f>SUM(G205-H205)</f>
        <v>0</v>
      </c>
      <c r="J205" s="115">
        <v>10740</v>
      </c>
      <c r="K205" s="168"/>
      <c r="L205" s="167"/>
    </row>
    <row r="206" spans="1:12" ht="15.75">
      <c r="A206" s="166">
        <v>165</v>
      </c>
      <c r="D206" s="165" t="s">
        <v>178</v>
      </c>
      <c r="E206" s="157">
        <v>2240</v>
      </c>
      <c r="F206" s="164">
        <v>19500</v>
      </c>
      <c r="G206" s="163">
        <f>19500-1909</f>
        <v>17591</v>
      </c>
      <c r="H206" s="163">
        <f>359+17232</f>
        <v>17591</v>
      </c>
      <c r="I206" s="162">
        <f>SUM(G206-H206)</f>
        <v>0</v>
      </c>
      <c r="J206" s="161">
        <f>19141-17232</f>
        <v>1909</v>
      </c>
      <c r="K206" s="160"/>
      <c r="L206" s="159"/>
    </row>
    <row r="207" spans="1:12" ht="15.75">
      <c r="A207" s="156">
        <v>166</v>
      </c>
      <c r="D207" s="158" t="s">
        <v>177</v>
      </c>
      <c r="E207" s="157">
        <v>2240</v>
      </c>
      <c r="F207" s="132">
        <v>22700</v>
      </c>
      <c r="G207" s="131">
        <f>22700-22370</f>
        <v>330</v>
      </c>
      <c r="H207" s="131">
        <f>330</f>
        <v>330</v>
      </c>
      <c r="I207" s="124">
        <f>SUM(G207-H207)</f>
        <v>0</v>
      </c>
      <c r="J207" s="130">
        <f>22370</f>
        <v>22370</v>
      </c>
      <c r="K207" s="129"/>
      <c r="L207" s="148"/>
    </row>
    <row r="208" spans="1:12" ht="15.75">
      <c r="A208" s="156">
        <v>167</v>
      </c>
      <c r="D208" s="158" t="s">
        <v>176</v>
      </c>
      <c r="E208" s="157">
        <v>2240</v>
      </c>
      <c r="F208" s="132">
        <v>17300</v>
      </c>
      <c r="G208" s="131">
        <f>17300-17047</f>
        <v>253</v>
      </c>
      <c r="H208" s="131">
        <f>253</f>
        <v>253</v>
      </c>
      <c r="I208" s="124">
        <f>SUM(G208-H208)</f>
        <v>0</v>
      </c>
      <c r="J208" s="130">
        <f>17047</f>
        <v>17047</v>
      </c>
      <c r="K208" s="129"/>
      <c r="L208" s="148"/>
    </row>
    <row r="209" spans="1:12" ht="15.75">
      <c r="A209" s="156">
        <v>168</v>
      </c>
      <c r="D209" s="158" t="s">
        <v>175</v>
      </c>
      <c r="E209" s="157">
        <v>2240</v>
      </c>
      <c r="F209" s="132">
        <v>23900</v>
      </c>
      <c r="G209" s="131">
        <f>23900-23465</f>
        <v>435</v>
      </c>
      <c r="H209" s="131">
        <f>435</f>
        <v>435</v>
      </c>
      <c r="I209" s="124">
        <f>SUM(G209-H209)</f>
        <v>0</v>
      </c>
      <c r="J209" s="130">
        <f>23465</f>
        <v>23465</v>
      </c>
      <c r="K209" s="129"/>
      <c r="L209" s="148"/>
    </row>
    <row r="210" spans="1:12" ht="30">
      <c r="A210" s="156">
        <v>169</v>
      </c>
      <c r="D210" s="155" t="s">
        <v>174</v>
      </c>
      <c r="E210" s="157">
        <v>2240</v>
      </c>
      <c r="F210" s="132">
        <v>35500</v>
      </c>
      <c r="G210" s="131">
        <f>34986+514-34986</f>
        <v>514</v>
      </c>
      <c r="H210" s="131">
        <f>514</f>
        <v>514</v>
      </c>
      <c r="I210" s="124">
        <f>SUM(G210-H210)</f>
        <v>0</v>
      </c>
      <c r="J210" s="130">
        <v>34986</v>
      </c>
      <c r="K210" s="129"/>
      <c r="L210" s="148"/>
    </row>
    <row r="211" spans="1:12" ht="15.75">
      <c r="A211" s="156">
        <v>170</v>
      </c>
      <c r="D211" s="155" t="s">
        <v>173</v>
      </c>
      <c r="E211" s="157">
        <v>2240</v>
      </c>
      <c r="F211" s="132">
        <v>89700</v>
      </c>
      <c r="G211" s="131">
        <f>1300+88400-88400</f>
        <v>1300</v>
      </c>
      <c r="H211" s="131">
        <f>1300</f>
        <v>1300</v>
      </c>
      <c r="I211" s="124">
        <f>SUM(G211-H211)</f>
        <v>0</v>
      </c>
      <c r="J211" s="130">
        <f>88400</f>
        <v>88400</v>
      </c>
      <c r="K211" s="129"/>
      <c r="L211" s="148"/>
    </row>
    <row r="212" spans="1:12" ht="30">
      <c r="A212" s="156">
        <v>171</v>
      </c>
      <c r="D212" s="155" t="s">
        <v>172</v>
      </c>
      <c r="E212" s="157">
        <v>2240</v>
      </c>
      <c r="F212" s="132">
        <v>14700</v>
      </c>
      <c r="G212" s="131">
        <f>14700-14429</f>
        <v>271</v>
      </c>
      <c r="H212" s="131">
        <f>271</f>
        <v>271</v>
      </c>
      <c r="I212" s="124">
        <f>SUM(G212-H212)</f>
        <v>0</v>
      </c>
      <c r="J212" s="145">
        <f>14429</f>
        <v>14429</v>
      </c>
      <c r="K212" s="129"/>
      <c r="L212" s="148"/>
    </row>
    <row r="213" spans="1:12" ht="15.75">
      <c r="A213" s="156">
        <v>172</v>
      </c>
      <c r="D213" s="155" t="s">
        <v>171</v>
      </c>
      <c r="E213" s="157">
        <v>2240</v>
      </c>
      <c r="F213" s="132">
        <v>10000</v>
      </c>
      <c r="G213" s="131">
        <f>10000-9853</f>
        <v>147</v>
      </c>
      <c r="H213" s="131">
        <f>147</f>
        <v>147</v>
      </c>
      <c r="I213" s="124">
        <f>SUM(G213-H213)</f>
        <v>0</v>
      </c>
      <c r="J213" s="130">
        <f>9853</f>
        <v>9853</v>
      </c>
      <c r="K213" s="129"/>
      <c r="L213" s="148"/>
    </row>
    <row r="214" spans="1:12" ht="15.75">
      <c r="A214" s="156">
        <v>173</v>
      </c>
      <c r="D214" s="155" t="s">
        <v>170</v>
      </c>
      <c r="E214" s="157">
        <v>2240</v>
      </c>
      <c r="F214" s="132">
        <f>50000+25000+25000</f>
        <v>100000</v>
      </c>
      <c r="G214" s="131">
        <f>50000+50000-49275</f>
        <v>50725</v>
      </c>
      <c r="H214" s="131">
        <f>726+49274+725</f>
        <v>50725</v>
      </c>
      <c r="I214" s="124">
        <f>SUM(G214-H214)</f>
        <v>0</v>
      </c>
      <c r="J214" s="130">
        <f>49275</f>
        <v>49275</v>
      </c>
      <c r="K214" s="129"/>
      <c r="L214" s="148"/>
    </row>
    <row r="215" spans="1:12" ht="15.75">
      <c r="A215" s="156">
        <v>174</v>
      </c>
      <c r="D215" s="155" t="s">
        <v>169</v>
      </c>
      <c r="E215" s="157">
        <v>2240</v>
      </c>
      <c r="F215" s="132">
        <v>50000</v>
      </c>
      <c r="G215" s="131">
        <f>50000-49277</f>
        <v>723</v>
      </c>
      <c r="H215" s="131">
        <f>723</f>
        <v>723</v>
      </c>
      <c r="I215" s="124">
        <f>SUM(G215-H215)</f>
        <v>0</v>
      </c>
      <c r="J215" s="130">
        <f>49277</f>
        <v>49277</v>
      </c>
      <c r="K215" s="129"/>
      <c r="L215" s="148"/>
    </row>
    <row r="216" spans="1:12" ht="15.75">
      <c r="A216" s="156">
        <v>175</v>
      </c>
      <c r="D216" s="155" t="s">
        <v>168</v>
      </c>
      <c r="E216" s="151">
        <v>2240</v>
      </c>
      <c r="F216" s="132">
        <f>25575+4425</f>
        <v>30000</v>
      </c>
      <c r="G216" s="131">
        <f>30000-29563</f>
        <v>437</v>
      </c>
      <c r="H216" s="131">
        <f>437</f>
        <v>437</v>
      </c>
      <c r="I216" s="124">
        <f>SUM(G216-H216)</f>
        <v>0</v>
      </c>
      <c r="J216" s="130">
        <f>29563</f>
        <v>29563</v>
      </c>
      <c r="K216" s="129"/>
      <c r="L216" s="148"/>
    </row>
    <row r="217" spans="1:12" ht="15.75">
      <c r="A217" s="156">
        <v>176</v>
      </c>
      <c r="D217" s="155" t="s">
        <v>167</v>
      </c>
      <c r="E217" s="151">
        <v>2240</v>
      </c>
      <c r="F217" s="132">
        <v>30000</v>
      </c>
      <c r="G217" s="131">
        <f>30000-6054.73+6054.73-29566</f>
        <v>434</v>
      </c>
      <c r="H217" s="131">
        <v>434</v>
      </c>
      <c r="I217" s="124">
        <f>SUM(G217-H217)</f>
        <v>0</v>
      </c>
      <c r="J217" s="130">
        <v>29566</v>
      </c>
      <c r="K217" s="129"/>
      <c r="L217" s="148"/>
    </row>
    <row r="218" spans="1:12" ht="15.75">
      <c r="A218" s="128"/>
      <c r="D218" s="154" t="s">
        <v>166</v>
      </c>
      <c r="E218" s="151"/>
      <c r="F218" s="141">
        <f>SUM(F219:F219)</f>
        <v>29500</v>
      </c>
      <c r="G218" s="140">
        <f>SUM(G219:G219)</f>
        <v>599</v>
      </c>
      <c r="H218" s="140">
        <f>SUM(H219:H219)</f>
        <v>599</v>
      </c>
      <c r="I218" s="140">
        <f>SUM(I219:I219)</f>
        <v>0</v>
      </c>
      <c r="J218" s="121">
        <f>SUM(J219:J219)</f>
        <v>28901</v>
      </c>
      <c r="K218" s="153"/>
      <c r="L218" s="152"/>
    </row>
    <row r="219" spans="1:12" ht="15.75">
      <c r="A219" s="128">
        <v>177</v>
      </c>
      <c r="D219" s="127" t="s">
        <v>165</v>
      </c>
      <c r="E219" s="151">
        <v>2240</v>
      </c>
      <c r="F219" s="150">
        <v>29500</v>
      </c>
      <c r="G219" s="149">
        <f>29500-28901</f>
        <v>599</v>
      </c>
      <c r="H219" s="131">
        <f>599</f>
        <v>599</v>
      </c>
      <c r="I219" s="124">
        <f>SUM(G219-H219)</f>
        <v>0</v>
      </c>
      <c r="J219" s="130">
        <f>28901</f>
        <v>28901</v>
      </c>
      <c r="K219" s="129"/>
      <c r="L219" s="148"/>
    </row>
    <row r="220" spans="1:12" ht="15.75">
      <c r="A220" s="128"/>
      <c r="D220" s="143" t="s">
        <v>164</v>
      </c>
      <c r="E220" s="142"/>
      <c r="F220" s="141">
        <f>SUM(F221:F221)</f>
        <v>211000</v>
      </c>
      <c r="G220" s="140">
        <f>SUM(G221:G221)</f>
        <v>83716</v>
      </c>
      <c r="H220" s="140">
        <f>SUM(H221:H221)</f>
        <v>83716</v>
      </c>
      <c r="I220" s="140">
        <f>SUM(I221:I221)</f>
        <v>0</v>
      </c>
      <c r="J220" s="121">
        <f>SUM(J221:J221)</f>
        <v>127284</v>
      </c>
      <c r="K220" s="139">
        <f>SUM(K221:K221)</f>
        <v>0</v>
      </c>
      <c r="L220" s="139">
        <f>SUM(L221:L221)</f>
        <v>0</v>
      </c>
    </row>
    <row r="221" spans="1:12" ht="15.75">
      <c r="A221" s="128">
        <v>178</v>
      </c>
      <c r="D221" s="127" t="s">
        <v>163</v>
      </c>
      <c r="E221" s="147">
        <v>3132</v>
      </c>
      <c r="F221" s="146">
        <v>211000</v>
      </c>
      <c r="G221" s="131">
        <f>81436+50408+79156-127284</f>
        <v>83716</v>
      </c>
      <c r="H221" s="131">
        <f>81436+2280</f>
        <v>83716</v>
      </c>
      <c r="I221" s="124">
        <f>SUM(G221-H221)</f>
        <v>0</v>
      </c>
      <c r="J221" s="145">
        <f>48128+79156</f>
        <v>127284</v>
      </c>
      <c r="K221" s="129"/>
      <c r="L221" s="144"/>
    </row>
    <row r="222" spans="1:12" ht="15.75">
      <c r="A222" s="128"/>
      <c r="D222" s="143" t="s">
        <v>162</v>
      </c>
      <c r="E222" s="142"/>
      <c r="F222" s="141">
        <f>SUM(F224:F225)</f>
        <v>100000</v>
      </c>
      <c r="G222" s="140">
        <f>SUM(G224:G225)</f>
        <v>22143</v>
      </c>
      <c r="H222" s="140">
        <f>SUM(H224:H225)</f>
        <v>22143</v>
      </c>
      <c r="I222" s="140">
        <f>SUM(I224:I225)</f>
        <v>0</v>
      </c>
      <c r="J222" s="121">
        <f>SUM(J223:J225)</f>
        <v>78417</v>
      </c>
      <c r="K222" s="139">
        <f>SUM(K224:K225)</f>
        <v>0</v>
      </c>
      <c r="L222" s="139">
        <f>SUM(L224:L225)</f>
        <v>0</v>
      </c>
    </row>
    <row r="223" spans="1:12" s="136" customFormat="1" ht="15.75">
      <c r="A223" s="135">
        <v>179</v>
      </c>
      <c r="B223" s="66"/>
      <c r="C223" s="66"/>
      <c r="D223" s="134" t="s">
        <v>161</v>
      </c>
      <c r="E223" s="133">
        <v>3132</v>
      </c>
      <c r="F223" s="132">
        <v>177522</v>
      </c>
      <c r="G223" s="131">
        <f>177522-7100</f>
        <v>170422</v>
      </c>
      <c r="H223" s="131">
        <f>2951.37+136913.15+30557.48</f>
        <v>170422</v>
      </c>
      <c r="I223" s="131">
        <f>SUM(G223-H223)</f>
        <v>0</v>
      </c>
      <c r="J223" s="130">
        <f>560</f>
        <v>560</v>
      </c>
      <c r="K223" s="138"/>
      <c r="L223" s="137"/>
    </row>
    <row r="224" spans="1:12" ht="15.75">
      <c r="A224" s="135">
        <v>180</v>
      </c>
      <c r="D224" s="134" t="s">
        <v>160</v>
      </c>
      <c r="E224" s="133">
        <v>2240</v>
      </c>
      <c r="F224" s="132">
        <v>70000</v>
      </c>
      <c r="G224" s="131">
        <f>20696+49304-48291</f>
        <v>21709</v>
      </c>
      <c r="H224" s="131">
        <f>20696+1013</f>
        <v>21709</v>
      </c>
      <c r="I224" s="131">
        <f>SUM(G224-H224)</f>
        <v>0</v>
      </c>
      <c r="J224" s="130">
        <f>48291</f>
        <v>48291</v>
      </c>
      <c r="K224" s="129"/>
      <c r="L224" s="122"/>
    </row>
    <row r="225" spans="1:12" ht="15.75">
      <c r="A225" s="128">
        <v>181</v>
      </c>
      <c r="B225" s="80"/>
      <c r="C225" s="80"/>
      <c r="D225" s="127" t="s">
        <v>159</v>
      </c>
      <c r="E225" s="126">
        <v>2240</v>
      </c>
      <c r="F225" s="125">
        <v>30000</v>
      </c>
      <c r="G225" s="124">
        <f>30000-29566</f>
        <v>434</v>
      </c>
      <c r="H225" s="124">
        <f>434</f>
        <v>434</v>
      </c>
      <c r="I225" s="124">
        <f>SUM(G225-H225)</f>
        <v>0</v>
      </c>
      <c r="J225" s="115">
        <f>29566</f>
        <v>29566</v>
      </c>
      <c r="K225" s="123"/>
      <c r="L225" s="122"/>
    </row>
    <row r="226" spans="1:10" ht="15.75">
      <c r="A226" s="120" t="s">
        <v>158</v>
      </c>
      <c r="B226" s="119"/>
      <c r="C226" s="119"/>
      <c r="D226" s="118"/>
      <c r="E226" s="117"/>
      <c r="F226" s="116"/>
      <c r="G226" s="80"/>
      <c r="H226" s="80"/>
      <c r="I226" s="80"/>
      <c r="J226" s="121">
        <f>J9+J107</f>
        <v>10756535.940000001</v>
      </c>
    </row>
    <row r="227" spans="1:10" ht="15.75">
      <c r="A227" s="120" t="s">
        <v>157</v>
      </c>
      <c r="B227" s="119"/>
      <c r="C227" s="119"/>
      <c r="D227" s="118"/>
      <c r="E227" s="117"/>
      <c r="F227" s="116"/>
      <c r="G227" s="80"/>
      <c r="H227" s="80"/>
      <c r="I227" s="80"/>
      <c r="J227" s="115">
        <f>J11+J14+J15+J17+J18+J19+J20+J21+J23+J24+J25+J28+J30+J33+J34+J35+J36+J37+J38+J41+J43+J46+J48+J52+J57+J58+J59+J63+J64+J65+J66+J67+J68+J69+J70+J71+J72+J73+J74+J80+J81+J82+J83+J84+J85+J86+J95+J96+J97+J98+J99+J100+J101+J102+J103+J104+J109+J111+J112+J113+J114+J115+J116+J119+J120+J121+J123+J126+J127+J128+J129+J130+J131+J132+J135+J137+J138+J142+J144+J145+J146+J147+J148+J149+J154+J156+J158+J159+J160+J164+J165+J166+J167+J168+J169+J170+J171+J172+J173+J174+J175+J176+J177+J184+J185+J186+J187+J188+J196+J197+J198+J199+J200+J201+J202+J203+J221+J223</f>
        <v>8069507.84</v>
      </c>
    </row>
    <row r="228" spans="1:10" ht="15.75">
      <c r="A228" s="120" t="s">
        <v>156</v>
      </c>
      <c r="B228" s="119"/>
      <c r="C228" s="119"/>
      <c r="D228" s="118"/>
      <c r="E228" s="117"/>
      <c r="F228" s="116"/>
      <c r="G228" s="80"/>
      <c r="H228" s="80"/>
      <c r="I228" s="80"/>
      <c r="J228" s="115">
        <f>J226-J227</f>
        <v>2687028.1000000015</v>
      </c>
    </row>
    <row r="229" spans="1:4" ht="15.75">
      <c r="A229" s="68"/>
      <c r="B229" s="68"/>
      <c r="C229" s="68"/>
      <c r="D229" s="114"/>
    </row>
    <row r="230" ht="181.5" customHeight="1"/>
    <row r="231" spans="1:10" ht="15.75">
      <c r="A231" s="76" t="s">
        <v>122</v>
      </c>
      <c r="B231" s="110"/>
      <c r="C231" s="110"/>
      <c r="D231" s="113"/>
      <c r="E231" s="112"/>
      <c r="F231" s="111"/>
      <c r="G231" s="110"/>
      <c r="H231" s="110"/>
      <c r="I231" s="110"/>
      <c r="J231" s="74" t="s">
        <v>70</v>
      </c>
    </row>
  </sheetData>
  <sheetProtection/>
  <mergeCells count="17">
    <mergeCell ref="A4:J4"/>
    <mergeCell ref="A226:D226"/>
    <mergeCell ref="L6:L7"/>
    <mergeCell ref="I6:I7"/>
    <mergeCell ref="J6:J7"/>
    <mergeCell ref="A9:I9"/>
    <mergeCell ref="G6:G7"/>
    <mergeCell ref="E6:E7"/>
    <mergeCell ref="H6:H7"/>
    <mergeCell ref="K6:K7"/>
    <mergeCell ref="A227:D227"/>
    <mergeCell ref="A228:D228"/>
    <mergeCell ref="A107:D107"/>
    <mergeCell ref="F6:F7"/>
    <mergeCell ref="D6:D7"/>
    <mergeCell ref="A6:A7"/>
    <mergeCell ref="B6:B7"/>
  </mergeCells>
  <printOptions/>
  <pageMargins left="0.6299212598425197" right="0.2362204724409449" top="0.7086614173228347" bottom="0.2362204724409449" header="0.15748031496062992" footer="0.1968503937007874"/>
  <pageSetup horizontalDpi="300" verticalDpi="300" orientation="portrait" paperSize="9" scale="86" r:id="rId1"/>
  <headerFooter differentFirst="1" alignWithMargins="0">
    <oddHeader>&amp;C&amp;"Times New Roman,звичайний"&amp;8&amp;P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5.125" style="109" customWidth="1"/>
    <col min="2" max="2" width="7.00390625" style="66" hidden="1" customWidth="1"/>
    <col min="3" max="3" width="3.375" style="66" hidden="1" customWidth="1"/>
    <col min="4" max="4" width="81.75390625" style="109" customWidth="1"/>
    <col min="5" max="5" width="4.875" style="108" hidden="1" customWidth="1"/>
    <col min="6" max="6" width="8.625" style="107" hidden="1" customWidth="1"/>
    <col min="7" max="7" width="10.375" style="66" hidden="1" customWidth="1"/>
    <col min="8" max="8" width="10.125" style="66" hidden="1" customWidth="1"/>
    <col min="9" max="9" width="0.2421875" style="66" hidden="1" customWidth="1"/>
    <col min="10" max="10" width="14.75390625" style="301" customWidth="1"/>
    <col min="11" max="11" width="6.875" style="66" hidden="1" customWidth="1"/>
    <col min="12" max="12" width="7.375" style="66" hidden="1" customWidth="1"/>
    <col min="13" max="13" width="11.375" style="66" hidden="1" customWidth="1"/>
    <col min="14" max="14" width="7.75390625" style="66" hidden="1" customWidth="1"/>
    <col min="15" max="15" width="0.2421875" style="66" customWidth="1"/>
    <col min="16" max="16384" width="9.125" style="66" customWidth="1"/>
  </cols>
  <sheetData>
    <row r="1" ht="15.75">
      <c r="J1" s="367" t="s">
        <v>431</v>
      </c>
    </row>
    <row r="2" ht="15.75">
      <c r="J2" s="367" t="s">
        <v>154</v>
      </c>
    </row>
    <row r="3" ht="15.75">
      <c r="J3" s="367" t="s">
        <v>153</v>
      </c>
    </row>
    <row r="4" spans="2:12" ht="79.5" customHeight="1">
      <c r="B4" s="366" t="s">
        <v>430</v>
      </c>
      <c r="C4" s="366"/>
      <c r="D4" s="366"/>
      <c r="E4" s="366"/>
      <c r="F4" s="366"/>
      <c r="G4" s="366"/>
      <c r="H4" s="366"/>
      <c r="I4" s="366"/>
      <c r="J4" s="366"/>
      <c r="K4" s="365"/>
      <c r="L4" s="365"/>
    </row>
    <row r="5" spans="1:12" ht="15.75">
      <c r="A5" s="364"/>
      <c r="B5" s="363"/>
      <c r="C5" s="363"/>
      <c r="D5" s="363"/>
      <c r="E5" s="363"/>
      <c r="F5" s="363"/>
      <c r="G5" s="363"/>
      <c r="H5" s="363"/>
      <c r="I5" s="363"/>
      <c r="J5" s="298" t="s">
        <v>7</v>
      </c>
      <c r="K5" s="72"/>
      <c r="L5" s="72"/>
    </row>
    <row r="6" spans="1:12" ht="24.75" customHeight="1">
      <c r="A6" s="100" t="s">
        <v>364</v>
      </c>
      <c r="B6" s="360" t="s">
        <v>151</v>
      </c>
      <c r="C6" s="190"/>
      <c r="D6" s="100" t="s">
        <v>429</v>
      </c>
      <c r="E6" s="100" t="s">
        <v>149</v>
      </c>
      <c r="F6" s="290" t="s">
        <v>363</v>
      </c>
      <c r="G6" s="358" t="s">
        <v>362</v>
      </c>
      <c r="H6" s="100" t="s">
        <v>361</v>
      </c>
      <c r="I6" s="100" t="s">
        <v>360</v>
      </c>
      <c r="J6" s="362" t="s">
        <v>148</v>
      </c>
      <c r="K6" s="361"/>
      <c r="L6" s="100" t="s">
        <v>428</v>
      </c>
    </row>
    <row r="7" spans="1:12" ht="54" customHeight="1">
      <c r="A7" s="97"/>
      <c r="B7" s="360"/>
      <c r="C7" s="359"/>
      <c r="D7" s="97"/>
      <c r="E7" s="97"/>
      <c r="F7" s="290"/>
      <c r="G7" s="358"/>
      <c r="H7" s="97"/>
      <c r="I7" s="97"/>
      <c r="J7" s="357"/>
      <c r="K7" s="356"/>
      <c r="L7" s="97"/>
    </row>
    <row r="8" spans="1:12" ht="13.5" customHeight="1">
      <c r="A8" s="285">
        <v>1</v>
      </c>
      <c r="B8" s="209">
        <v>1</v>
      </c>
      <c r="C8" s="80"/>
      <c r="D8" s="285">
        <v>2</v>
      </c>
      <c r="E8" s="117">
        <v>3</v>
      </c>
      <c r="F8" s="116">
        <v>4</v>
      </c>
      <c r="G8" s="80">
        <v>5</v>
      </c>
      <c r="H8" s="80">
        <v>6</v>
      </c>
      <c r="I8" s="80">
        <v>7</v>
      </c>
      <c r="J8" s="355">
        <v>3</v>
      </c>
      <c r="K8" s="80"/>
      <c r="L8" s="80">
        <v>9</v>
      </c>
    </row>
    <row r="9" spans="1:12" ht="15" customHeight="1">
      <c r="A9" s="285"/>
      <c r="B9" s="209">
        <v>16</v>
      </c>
      <c r="C9" s="80"/>
      <c r="D9" s="247" t="s">
        <v>276</v>
      </c>
      <c r="E9" s="220"/>
      <c r="F9" s="211">
        <f>SUM(F10:F10)</f>
        <v>952799</v>
      </c>
      <c r="G9" s="336">
        <f>SUM(G10:G10)</f>
        <v>842092.67</v>
      </c>
      <c r="H9" s="336">
        <f>SUM(H10:H10)</f>
        <v>842092.67</v>
      </c>
      <c r="I9" s="336">
        <f>SUM(I10:I10)</f>
        <v>0</v>
      </c>
      <c r="J9" s="310">
        <f>SUM(J10:J10)</f>
        <v>106677.32999999999</v>
      </c>
      <c r="K9" s="307"/>
      <c r="L9" s="325"/>
    </row>
    <row r="10" spans="1:12" ht="15.75">
      <c r="A10" s="354">
        <v>1</v>
      </c>
      <c r="B10" s="245"/>
      <c r="C10" s="208"/>
      <c r="D10" s="347" t="s">
        <v>427</v>
      </c>
      <c r="E10" s="222">
        <v>3132</v>
      </c>
      <c r="F10" s="132">
        <v>952799</v>
      </c>
      <c r="G10" s="319">
        <f>948770-106677.33</f>
        <v>842092.67</v>
      </c>
      <c r="H10" s="319">
        <f>16394+138065+150000+176001+206292.67+155340</f>
        <v>842092.67</v>
      </c>
      <c r="I10" s="318">
        <f>SUM(G10-H10)</f>
        <v>0</v>
      </c>
      <c r="J10" s="308">
        <f>215398.33-155340+46619</f>
        <v>106677.32999999999</v>
      </c>
      <c r="K10" s="321"/>
      <c r="L10" s="315"/>
    </row>
    <row r="11" spans="1:12" ht="17.25" customHeight="1">
      <c r="A11" s="285"/>
      <c r="B11" s="209">
        <v>36</v>
      </c>
      <c r="C11" s="80"/>
      <c r="D11" s="225" t="s">
        <v>266</v>
      </c>
      <c r="E11" s="353"/>
      <c r="F11" s="275">
        <f>SUM(F12:F19)</f>
        <v>1318600</v>
      </c>
      <c r="G11" s="352">
        <f>SUM(G12:G19)</f>
        <v>575642</v>
      </c>
      <c r="H11" s="336">
        <f>SUM(H12:H19)</f>
        <v>575642</v>
      </c>
      <c r="I11" s="336">
        <f>SUM(I12:I19)</f>
        <v>0</v>
      </c>
      <c r="J11" s="310">
        <f>SUM(J12:J20)</f>
        <v>825525</v>
      </c>
      <c r="K11" s="325">
        <f>SUM(K12:K19)</f>
        <v>0</v>
      </c>
      <c r="L11" s="336"/>
    </row>
    <row r="12" spans="1:12" ht="15.75">
      <c r="A12" s="328">
        <v>2</v>
      </c>
      <c r="B12" s="209"/>
      <c r="C12" s="208"/>
      <c r="D12" s="127" t="s">
        <v>426</v>
      </c>
      <c r="E12" s="235">
        <v>3132</v>
      </c>
      <c r="F12" s="125">
        <v>200000</v>
      </c>
      <c r="G12" s="318">
        <f>200000-9835</f>
        <v>190165</v>
      </c>
      <c r="H12" s="318">
        <f>3300+186865</f>
        <v>190165</v>
      </c>
      <c r="I12" s="318">
        <f>SUM(G12-H12)</f>
        <v>0</v>
      </c>
      <c r="J12" s="308">
        <v>9835</v>
      </c>
      <c r="K12" s="333"/>
      <c r="L12" s="307"/>
    </row>
    <row r="13" spans="1:12" ht="15.75">
      <c r="A13" s="328">
        <v>3</v>
      </c>
      <c r="B13" s="241"/>
      <c r="C13" s="240"/>
      <c r="D13" s="350" t="s">
        <v>425</v>
      </c>
      <c r="E13" s="239">
        <v>3132</v>
      </c>
      <c r="F13" s="125">
        <v>200000</v>
      </c>
      <c r="G13" s="318">
        <v>190165</v>
      </c>
      <c r="H13" s="318">
        <f>3300+186865</f>
        <v>190165</v>
      </c>
      <c r="I13" s="318">
        <f>SUM(G13-H13)</f>
        <v>0</v>
      </c>
      <c r="J13" s="308">
        <v>9835</v>
      </c>
      <c r="K13" s="333"/>
      <c r="L13" s="307"/>
    </row>
    <row r="14" spans="1:12" ht="15.75">
      <c r="A14" s="328">
        <v>4</v>
      </c>
      <c r="B14" s="209">
        <v>36</v>
      </c>
      <c r="C14" s="80"/>
      <c r="D14" s="350" t="s">
        <v>424</v>
      </c>
      <c r="E14" s="351">
        <v>3132</v>
      </c>
      <c r="F14" s="164">
        <v>200000</v>
      </c>
      <c r="G14" s="318">
        <v>183938</v>
      </c>
      <c r="H14" s="318">
        <f>3334+180604</f>
        <v>183938</v>
      </c>
      <c r="I14" s="318">
        <f>SUM(G14-H14)</f>
        <v>0</v>
      </c>
      <c r="J14" s="308">
        <v>9506</v>
      </c>
      <c r="K14" s="333"/>
      <c r="L14" s="307"/>
    </row>
    <row r="15" spans="1:12" ht="15.75">
      <c r="A15" s="328">
        <v>5</v>
      </c>
      <c r="B15" s="209"/>
      <c r="C15" s="208"/>
      <c r="D15" s="350" t="s">
        <v>423</v>
      </c>
      <c r="E15" s="235">
        <v>3132</v>
      </c>
      <c r="F15" s="125">
        <v>250000</v>
      </c>
      <c r="G15" s="318">
        <v>4182</v>
      </c>
      <c r="H15" s="318">
        <f>4182</f>
        <v>4182</v>
      </c>
      <c r="I15" s="318">
        <f>SUM(G15-H15)</f>
        <v>0</v>
      </c>
      <c r="J15" s="308">
        <f>228294+12016</f>
        <v>240310</v>
      </c>
      <c r="K15" s="333"/>
      <c r="L15" s="307"/>
    </row>
    <row r="16" spans="1:12" ht="15.75">
      <c r="A16" s="328">
        <v>6</v>
      </c>
      <c r="B16" s="209"/>
      <c r="C16" s="208"/>
      <c r="D16" s="350" t="s">
        <v>422</v>
      </c>
      <c r="E16" s="235">
        <v>3132</v>
      </c>
      <c r="F16" s="125">
        <v>168600</v>
      </c>
      <c r="G16" s="318">
        <v>2842</v>
      </c>
      <c r="H16" s="318">
        <f>2842</f>
        <v>2842</v>
      </c>
      <c r="I16" s="318">
        <f>SUM(G16-H16)</f>
        <v>0</v>
      </c>
      <c r="J16" s="308">
        <f>154687+8142</f>
        <v>162829</v>
      </c>
      <c r="K16" s="333"/>
      <c r="L16" s="307"/>
    </row>
    <row r="17" spans="1:12" ht="15.75">
      <c r="A17" s="328">
        <v>7</v>
      </c>
      <c r="B17" s="209"/>
      <c r="C17" s="208"/>
      <c r="D17" s="127" t="s">
        <v>421</v>
      </c>
      <c r="E17" s="235">
        <v>2240</v>
      </c>
      <c r="F17" s="125">
        <v>100000</v>
      </c>
      <c r="G17" s="318">
        <f>100000-98550</f>
        <v>1450</v>
      </c>
      <c r="H17" s="318">
        <f>1450</f>
        <v>1450</v>
      </c>
      <c r="I17" s="318">
        <f>SUM(G17-H17)</f>
        <v>0</v>
      </c>
      <c r="J17" s="308">
        <f>98550</f>
        <v>98550</v>
      </c>
      <c r="K17" s="325"/>
      <c r="L17" s="307"/>
    </row>
    <row r="18" spans="1:12" ht="15.75">
      <c r="A18" s="328">
        <v>8</v>
      </c>
      <c r="B18" s="209"/>
      <c r="C18" s="208"/>
      <c r="D18" s="127" t="s">
        <v>420</v>
      </c>
      <c r="E18" s="235">
        <v>2240</v>
      </c>
      <c r="F18" s="125">
        <v>100000</v>
      </c>
      <c r="G18" s="318">
        <f>100000-98550</f>
        <v>1450</v>
      </c>
      <c r="H18" s="318">
        <f>1450</f>
        <v>1450</v>
      </c>
      <c r="I18" s="318">
        <f>SUM(G18-H18)</f>
        <v>0</v>
      </c>
      <c r="J18" s="308">
        <f>98550</f>
        <v>98550</v>
      </c>
      <c r="K18" s="333"/>
      <c r="L18" s="307"/>
    </row>
    <row r="19" spans="1:12" ht="15.75">
      <c r="A19" s="328">
        <v>9</v>
      </c>
      <c r="B19" s="209"/>
      <c r="C19" s="208"/>
      <c r="D19" s="127" t="s">
        <v>419</v>
      </c>
      <c r="E19" s="235">
        <v>2240</v>
      </c>
      <c r="F19" s="125">
        <v>100000</v>
      </c>
      <c r="G19" s="318">
        <f>100000-98550</f>
        <v>1450</v>
      </c>
      <c r="H19" s="318">
        <f>1450</f>
        <v>1450</v>
      </c>
      <c r="I19" s="318">
        <f>SUM(G19-H19)</f>
        <v>0</v>
      </c>
      <c r="J19" s="308">
        <f>98550</f>
        <v>98550</v>
      </c>
      <c r="K19" s="325"/>
      <c r="L19" s="307"/>
    </row>
    <row r="20" spans="1:12" ht="15.75">
      <c r="A20" s="328">
        <v>10</v>
      </c>
      <c r="B20" s="209"/>
      <c r="C20" s="208"/>
      <c r="D20" s="326" t="s">
        <v>418</v>
      </c>
      <c r="E20" s="235">
        <v>2240</v>
      </c>
      <c r="F20" s="125">
        <v>99000</v>
      </c>
      <c r="G20" s="318">
        <v>1440</v>
      </c>
      <c r="H20" s="318">
        <f>1440</f>
        <v>1440</v>
      </c>
      <c r="I20" s="318">
        <f>SUM(G20-H20)</f>
        <v>0</v>
      </c>
      <c r="J20" s="308">
        <f>97560</f>
        <v>97560</v>
      </c>
      <c r="K20" s="325"/>
      <c r="L20" s="307"/>
    </row>
    <row r="21" spans="1:15" ht="13.5" customHeight="1">
      <c r="A21" s="328"/>
      <c r="B21" s="209"/>
      <c r="C21" s="208"/>
      <c r="D21" s="212" t="s">
        <v>262</v>
      </c>
      <c r="E21" s="349"/>
      <c r="F21" s="211">
        <f>SUM(F22:F23)</f>
        <v>893712</v>
      </c>
      <c r="G21" s="336">
        <f>SUM(G22:G23)</f>
        <v>839496</v>
      </c>
      <c r="H21" s="336">
        <f>SUM(H22:H23)</f>
        <v>839496</v>
      </c>
      <c r="I21" s="336">
        <f>SUM(I22:I23)</f>
        <v>0</v>
      </c>
      <c r="J21" s="310">
        <f>SUM(J22:J25)</f>
        <v>89221</v>
      </c>
      <c r="K21" s="325">
        <f>SUM(K22:K23)</f>
        <v>0</v>
      </c>
      <c r="L21" s="307">
        <f>SUM(L22:L23)</f>
        <v>0</v>
      </c>
      <c r="M21" s="224" t="e">
        <f>SUM(#REF!)</f>
        <v>#REF!</v>
      </c>
      <c r="N21" s="224" t="e">
        <f>SUM(#REF!)</f>
        <v>#REF!</v>
      </c>
      <c r="O21" s="224" t="e">
        <f>SUM(#REF!)</f>
        <v>#REF!</v>
      </c>
    </row>
    <row r="22" spans="1:12" ht="15.75">
      <c r="A22" s="328">
        <v>11</v>
      </c>
      <c r="B22" s="209"/>
      <c r="C22" s="208"/>
      <c r="D22" s="127" t="s">
        <v>417</v>
      </c>
      <c r="E22" s="235">
        <v>3132</v>
      </c>
      <c r="F22" s="125">
        <v>693712</v>
      </c>
      <c r="G22" s="318">
        <f>693712-2596-16433</f>
        <v>674683</v>
      </c>
      <c r="H22" s="318">
        <f>11382+663301</f>
        <v>674683</v>
      </c>
      <c r="I22" s="318">
        <f>SUM(G22-H22)</f>
        <v>0</v>
      </c>
      <c r="J22" s="308">
        <v>16433</v>
      </c>
      <c r="K22" s="325"/>
      <c r="L22" s="307"/>
    </row>
    <row r="23" spans="1:12" ht="15.75">
      <c r="A23" s="328">
        <v>12</v>
      </c>
      <c r="B23" s="209"/>
      <c r="C23" s="208"/>
      <c r="D23" s="127" t="s">
        <v>339</v>
      </c>
      <c r="E23" s="235">
        <v>3132</v>
      </c>
      <c r="F23" s="125">
        <v>200000</v>
      </c>
      <c r="G23" s="318">
        <f>200000-35187</f>
        <v>164813</v>
      </c>
      <c r="H23" s="318">
        <f>6312+158501</f>
        <v>164813</v>
      </c>
      <c r="I23" s="318">
        <f>SUM(G23-H23)</f>
        <v>0</v>
      </c>
      <c r="J23" s="308">
        <v>35187</v>
      </c>
      <c r="K23" s="333"/>
      <c r="L23" s="348"/>
    </row>
    <row r="24" spans="1:12" ht="15.75">
      <c r="A24" s="328">
        <v>13</v>
      </c>
      <c r="B24" s="209"/>
      <c r="C24" s="208"/>
      <c r="D24" s="326" t="s">
        <v>416</v>
      </c>
      <c r="E24" s="235">
        <v>3132</v>
      </c>
      <c r="F24" s="125">
        <f>616219+183781</f>
        <v>800000</v>
      </c>
      <c r="G24" s="318">
        <v>782722</v>
      </c>
      <c r="H24" s="318">
        <f>400000+369280+13442</f>
        <v>782722</v>
      </c>
      <c r="I24" s="318">
        <f>SUM(G24-H24)</f>
        <v>0</v>
      </c>
      <c r="J24" s="308">
        <f>15888</f>
        <v>15888</v>
      </c>
      <c r="K24" s="325"/>
      <c r="L24" s="307"/>
    </row>
    <row r="25" spans="1:12" ht="15.75">
      <c r="A25" s="328">
        <v>14</v>
      </c>
      <c r="B25" s="209"/>
      <c r="C25" s="208"/>
      <c r="D25" s="347" t="s">
        <v>415</v>
      </c>
      <c r="E25" s="235">
        <v>3132</v>
      </c>
      <c r="F25" s="226">
        <f>239169</f>
        <v>239169</v>
      </c>
      <c r="G25" s="318">
        <v>204090</v>
      </c>
      <c r="H25" s="318">
        <f>3460+155221+41499+3910</f>
        <v>204090</v>
      </c>
      <c r="I25" s="318">
        <f>SUM(G25-H25)</f>
        <v>0</v>
      </c>
      <c r="J25" s="308">
        <f>21713</f>
        <v>21713</v>
      </c>
      <c r="K25" s="333"/>
      <c r="L25" s="346"/>
    </row>
    <row r="26" spans="1:12" ht="15" customHeight="1">
      <c r="A26" s="285"/>
      <c r="B26" s="209"/>
      <c r="C26" s="208"/>
      <c r="D26" s="234" t="s">
        <v>259</v>
      </c>
      <c r="E26" s="222"/>
      <c r="F26" s="211">
        <f>SUM(F27:F28)</f>
        <v>196000</v>
      </c>
      <c r="G26" s="336">
        <f>SUM(G27:G28)</f>
        <v>2836</v>
      </c>
      <c r="H26" s="336">
        <f>SUM(H27:H28)</f>
        <v>2836</v>
      </c>
      <c r="I26" s="336">
        <f>SUM(I27:I28)</f>
        <v>0</v>
      </c>
      <c r="J26" s="310">
        <f>SUM(J27:J30)</f>
        <v>380317</v>
      </c>
      <c r="K26" s="325"/>
      <c r="L26" s="338"/>
    </row>
    <row r="27" spans="1:12" ht="15.75">
      <c r="A27" s="328">
        <v>15</v>
      </c>
      <c r="B27" s="209"/>
      <c r="C27" s="208"/>
      <c r="D27" s="127" t="s">
        <v>414</v>
      </c>
      <c r="E27" s="222">
        <v>2240</v>
      </c>
      <c r="F27" s="125">
        <v>98000</v>
      </c>
      <c r="G27" s="318">
        <f>98000-96582</f>
        <v>1418</v>
      </c>
      <c r="H27" s="318">
        <f>1418</f>
        <v>1418</v>
      </c>
      <c r="I27" s="318">
        <f>SUM(G27-H27)</f>
        <v>0</v>
      </c>
      <c r="J27" s="308">
        <f>96582</f>
        <v>96582</v>
      </c>
      <c r="K27" s="333"/>
      <c r="L27" s="333"/>
    </row>
    <row r="28" spans="1:12" ht="15.75">
      <c r="A28" s="328">
        <v>16</v>
      </c>
      <c r="B28" s="209"/>
      <c r="C28" s="208"/>
      <c r="D28" s="270" t="s">
        <v>413</v>
      </c>
      <c r="E28" s="222">
        <v>2240</v>
      </c>
      <c r="F28" s="125">
        <v>98000</v>
      </c>
      <c r="G28" s="318">
        <f>98000-96582</f>
        <v>1418</v>
      </c>
      <c r="H28" s="318">
        <f>1418</f>
        <v>1418</v>
      </c>
      <c r="I28" s="318">
        <f>SUM(G28-H28)</f>
        <v>0</v>
      </c>
      <c r="J28" s="308">
        <f>96582</f>
        <v>96582</v>
      </c>
      <c r="K28" s="333"/>
      <c r="L28" s="333"/>
    </row>
    <row r="29" spans="1:12" ht="15.75">
      <c r="A29" s="285">
        <v>17</v>
      </c>
      <c r="B29" s="209"/>
      <c r="C29" s="208"/>
      <c r="D29" s="326" t="s">
        <v>412</v>
      </c>
      <c r="E29" s="222">
        <v>2240</v>
      </c>
      <c r="F29" s="125">
        <v>90000</v>
      </c>
      <c r="G29" s="318">
        <v>1400</v>
      </c>
      <c r="H29" s="318">
        <v>1400</v>
      </c>
      <c r="I29" s="318">
        <v>0</v>
      </c>
      <c r="J29" s="308">
        <v>88600</v>
      </c>
      <c r="K29" s="325"/>
      <c r="L29" s="338"/>
    </row>
    <row r="30" spans="1:12" ht="15.75">
      <c r="A30" s="328">
        <v>18</v>
      </c>
      <c r="B30" s="209"/>
      <c r="C30" s="208"/>
      <c r="D30" s="326" t="s">
        <v>411</v>
      </c>
      <c r="E30" s="222">
        <v>2240</v>
      </c>
      <c r="F30" s="125">
        <v>100000</v>
      </c>
      <c r="G30" s="318">
        <v>1447</v>
      </c>
      <c r="H30" s="318">
        <v>1447</v>
      </c>
      <c r="I30" s="318">
        <v>0</v>
      </c>
      <c r="J30" s="308">
        <v>98553</v>
      </c>
      <c r="K30" s="333"/>
      <c r="L30" s="333"/>
    </row>
    <row r="31" spans="1:12" ht="15" customHeight="1">
      <c r="A31" s="285"/>
      <c r="B31" s="209">
        <v>78</v>
      </c>
      <c r="C31" s="216"/>
      <c r="D31" s="225" t="s">
        <v>248</v>
      </c>
      <c r="E31" s="217"/>
      <c r="F31" s="211">
        <f>SUM(F32:F33)</f>
        <v>200000</v>
      </c>
      <c r="G31" s="336">
        <f>SUM(G32:G33)</f>
        <v>2900</v>
      </c>
      <c r="H31" s="336">
        <f>SUM(H32:H33)</f>
        <v>2900</v>
      </c>
      <c r="I31" s="336">
        <f>SUM(I32:I33)</f>
        <v>0</v>
      </c>
      <c r="J31" s="310">
        <f>SUM(J32:J33)</f>
        <v>197100</v>
      </c>
      <c r="K31" s="325">
        <f>SUM(K32:K33)</f>
        <v>0</v>
      </c>
      <c r="L31" s="325">
        <f>SUM(L32:L33)</f>
        <v>0</v>
      </c>
    </row>
    <row r="32" spans="1:12" ht="15.75">
      <c r="A32" s="285">
        <v>19</v>
      </c>
      <c r="B32" s="209"/>
      <c r="C32" s="208"/>
      <c r="D32" s="155" t="s">
        <v>410</v>
      </c>
      <c r="E32" s="222">
        <v>2240</v>
      </c>
      <c r="F32" s="125">
        <v>100000</v>
      </c>
      <c r="G32" s="318">
        <f>100000-98550</f>
        <v>1450</v>
      </c>
      <c r="H32" s="318">
        <f>1450</f>
        <v>1450</v>
      </c>
      <c r="I32" s="318">
        <f>SUM(G32-H32)</f>
        <v>0</v>
      </c>
      <c r="J32" s="308">
        <f>98550</f>
        <v>98550</v>
      </c>
      <c r="K32" s="333"/>
      <c r="L32" s="333"/>
    </row>
    <row r="33" spans="1:12" ht="15.75">
      <c r="A33" s="285">
        <v>20</v>
      </c>
      <c r="B33" s="209"/>
      <c r="C33" s="208"/>
      <c r="D33" s="155" t="s">
        <v>409</v>
      </c>
      <c r="E33" s="222">
        <v>2240</v>
      </c>
      <c r="F33" s="125">
        <v>100000</v>
      </c>
      <c r="G33" s="318">
        <f>100000-98550</f>
        <v>1450</v>
      </c>
      <c r="H33" s="318">
        <f>1450</f>
        <v>1450</v>
      </c>
      <c r="I33" s="318">
        <f>SUM(G33-H33)</f>
        <v>0</v>
      </c>
      <c r="J33" s="308">
        <f>98550</f>
        <v>98550</v>
      </c>
      <c r="K33" s="333"/>
      <c r="L33" s="333"/>
    </row>
    <row r="34" spans="1:12" ht="15" customHeight="1">
      <c r="A34" s="285"/>
      <c r="B34" s="209">
        <v>90</v>
      </c>
      <c r="C34" s="216"/>
      <c r="D34" s="221" t="s">
        <v>243</v>
      </c>
      <c r="E34" s="220"/>
      <c r="F34" s="211">
        <f>SUM(F35:F35)</f>
        <v>450000</v>
      </c>
      <c r="G34" s="336">
        <f>SUM(G35:G35)</f>
        <v>425218</v>
      </c>
      <c r="H34" s="336">
        <f>SUM(H35:H35)</f>
        <v>425218</v>
      </c>
      <c r="I34" s="336">
        <f>SUM(I35:I35)</f>
        <v>0</v>
      </c>
      <c r="J34" s="310">
        <f>SUM(J35:J35)</f>
        <v>24782</v>
      </c>
      <c r="K34" s="307">
        <f>SUM(K35:K35)</f>
        <v>0</v>
      </c>
      <c r="L34" s="307" t="e">
        <f>SUM(#REF!)</f>
        <v>#REF!</v>
      </c>
    </row>
    <row r="35" spans="1:12" ht="15.75">
      <c r="A35" s="285">
        <v>21</v>
      </c>
      <c r="B35" s="209"/>
      <c r="C35" s="208"/>
      <c r="D35" s="89" t="s">
        <v>408</v>
      </c>
      <c r="E35" s="217">
        <v>3132</v>
      </c>
      <c r="F35" s="125">
        <v>450000</v>
      </c>
      <c r="G35" s="318">
        <f>450000-24782</f>
        <v>425218</v>
      </c>
      <c r="H35" s="318">
        <f>4988+132780+285038+2412</f>
        <v>425218</v>
      </c>
      <c r="I35" s="318">
        <f>SUM(G35-H35)</f>
        <v>0</v>
      </c>
      <c r="J35" s="308">
        <v>24782</v>
      </c>
      <c r="K35" s="333"/>
      <c r="L35" s="307"/>
    </row>
    <row r="36" spans="1:12" ht="15.75" customHeight="1">
      <c r="A36" s="285"/>
      <c r="B36" s="209">
        <v>101</v>
      </c>
      <c r="C36" s="216"/>
      <c r="D36" s="215" t="s">
        <v>241</v>
      </c>
      <c r="E36" s="126"/>
      <c r="F36" s="206">
        <f>SUM(F38:F39)</f>
        <v>187570</v>
      </c>
      <c r="G36" s="341">
        <f>SUM(G38:G39)</f>
        <v>58171</v>
      </c>
      <c r="H36" s="341">
        <f>SUM(H38:H39)</f>
        <v>58171</v>
      </c>
      <c r="I36" s="341">
        <f>SUM(I38:I39)</f>
        <v>0</v>
      </c>
      <c r="J36" s="310">
        <f>SUM(J37:J39)</f>
        <v>203913</v>
      </c>
      <c r="K36" s="325">
        <f>SUM(K38:K39)</f>
        <v>0</v>
      </c>
      <c r="L36" s="325">
        <f>SUM(L38:L39)</f>
        <v>0</v>
      </c>
    </row>
    <row r="37" spans="1:12" ht="15.75" customHeight="1">
      <c r="A37" s="328">
        <v>22</v>
      </c>
      <c r="B37" s="209"/>
      <c r="C37" s="208"/>
      <c r="D37" s="345" t="s">
        <v>407</v>
      </c>
      <c r="E37" s="222">
        <v>3132</v>
      </c>
      <c r="F37" s="125">
        <v>80000</v>
      </c>
      <c r="G37" s="318">
        <f>1306</f>
        <v>1306</v>
      </c>
      <c r="H37" s="318">
        <f>1306</f>
        <v>1306</v>
      </c>
      <c r="I37" s="318">
        <f>SUM(G37-H37)</f>
        <v>0</v>
      </c>
      <c r="J37" s="308">
        <f>74514</f>
        <v>74514</v>
      </c>
      <c r="K37" s="325"/>
      <c r="L37" s="325"/>
    </row>
    <row r="38" spans="1:12" ht="15.75">
      <c r="A38" s="328">
        <v>23</v>
      </c>
      <c r="B38" s="209"/>
      <c r="C38" s="208"/>
      <c r="D38" s="127" t="s">
        <v>406</v>
      </c>
      <c r="E38" s="151">
        <v>2240</v>
      </c>
      <c r="F38" s="125">
        <v>88570</v>
      </c>
      <c r="G38" s="318">
        <f>26185+62385-61101</f>
        <v>27469</v>
      </c>
      <c r="H38" s="342">
        <f>26185+1284</f>
        <v>27469</v>
      </c>
      <c r="I38" s="318">
        <f>SUM(G38-H38)</f>
        <v>0</v>
      </c>
      <c r="J38" s="308">
        <f>61101</f>
        <v>61101</v>
      </c>
      <c r="K38" s="333"/>
      <c r="L38" s="307"/>
    </row>
    <row r="39" spans="1:12" ht="15.75">
      <c r="A39" s="328">
        <v>24</v>
      </c>
      <c r="B39" s="209"/>
      <c r="C39" s="208"/>
      <c r="D39" s="127" t="s">
        <v>405</v>
      </c>
      <c r="E39" s="151">
        <v>2240</v>
      </c>
      <c r="F39" s="125">
        <v>99000</v>
      </c>
      <c r="G39" s="318">
        <f>29270+69730-68298</f>
        <v>30702</v>
      </c>
      <c r="H39" s="342">
        <f>29270+1432</f>
        <v>30702</v>
      </c>
      <c r="I39" s="318">
        <f>SUM(G39-H39)</f>
        <v>0</v>
      </c>
      <c r="J39" s="308">
        <f>68298</f>
        <v>68298</v>
      </c>
      <c r="K39" s="333"/>
      <c r="L39" s="307"/>
    </row>
    <row r="40" spans="1:12" ht="17.25" customHeight="1">
      <c r="A40" s="328"/>
      <c r="B40" s="209"/>
      <c r="C40" s="208"/>
      <c r="D40" s="154" t="s">
        <v>231</v>
      </c>
      <c r="E40" s="151"/>
      <c r="F40" s="141">
        <f>SUM(F41:F48)</f>
        <v>863000</v>
      </c>
      <c r="G40" s="336">
        <f>SUM(G41:G48)</f>
        <v>13400</v>
      </c>
      <c r="H40" s="336">
        <f>SUM(H41:H48)</f>
        <v>13400</v>
      </c>
      <c r="I40" s="336">
        <f>SUM(I41:I48)</f>
        <v>0</v>
      </c>
      <c r="J40" s="310">
        <f>SUM(J41:J48)</f>
        <v>849600</v>
      </c>
      <c r="K40" s="325">
        <f>SUM(K41:K48)</f>
        <v>0</v>
      </c>
      <c r="L40" s="325">
        <f>SUM(L41:L48)</f>
        <v>0</v>
      </c>
    </row>
    <row r="41" spans="1:12" ht="15.75">
      <c r="A41" s="328">
        <v>25</v>
      </c>
      <c r="B41" s="209"/>
      <c r="C41" s="208"/>
      <c r="D41" s="270" t="s">
        <v>404</v>
      </c>
      <c r="E41" s="151">
        <v>3132</v>
      </c>
      <c r="F41" s="188">
        <v>250000</v>
      </c>
      <c r="G41" s="342">
        <f>250000-245900</f>
        <v>4100</v>
      </c>
      <c r="H41" s="342">
        <f>4100</f>
        <v>4100</v>
      </c>
      <c r="I41" s="342">
        <f>SUM(G41-H41)</f>
        <v>0</v>
      </c>
      <c r="J41" s="308">
        <f>245900</f>
        <v>245900</v>
      </c>
      <c r="K41" s="344"/>
      <c r="L41" s="333"/>
    </row>
    <row r="42" spans="1:12" ht="15.75">
      <c r="A42" s="328">
        <v>26</v>
      </c>
      <c r="B42" s="209"/>
      <c r="C42" s="208"/>
      <c r="D42" s="270" t="s">
        <v>403</v>
      </c>
      <c r="E42" s="151">
        <v>2240</v>
      </c>
      <c r="F42" s="188">
        <v>80000</v>
      </c>
      <c r="G42" s="342">
        <f>80000-78800</f>
        <v>1200</v>
      </c>
      <c r="H42" s="342">
        <f>1200</f>
        <v>1200</v>
      </c>
      <c r="I42" s="342">
        <f>SUM(G42-H42)</f>
        <v>0</v>
      </c>
      <c r="J42" s="308">
        <f>78800</f>
        <v>78800</v>
      </c>
      <c r="K42" s="344"/>
      <c r="L42" s="333"/>
    </row>
    <row r="43" spans="1:12" ht="15.75">
      <c r="A43" s="328">
        <v>27</v>
      </c>
      <c r="B43" s="209"/>
      <c r="C43" s="208"/>
      <c r="D43" s="270" t="s">
        <v>402</v>
      </c>
      <c r="E43" s="151">
        <v>2240</v>
      </c>
      <c r="F43" s="188">
        <v>85000</v>
      </c>
      <c r="G43" s="342">
        <v>1300</v>
      </c>
      <c r="H43" s="342">
        <f>1300</f>
        <v>1300</v>
      </c>
      <c r="I43" s="342">
        <f>SUM(G43-H43)</f>
        <v>0</v>
      </c>
      <c r="J43" s="308">
        <f>83700</f>
        <v>83700</v>
      </c>
      <c r="K43" s="344"/>
      <c r="L43" s="333"/>
    </row>
    <row r="44" spans="1:12" ht="15.75">
      <c r="A44" s="328">
        <v>28</v>
      </c>
      <c r="B44" s="209"/>
      <c r="C44" s="208"/>
      <c r="D44" s="270" t="s">
        <v>401</v>
      </c>
      <c r="E44" s="151">
        <v>2240</v>
      </c>
      <c r="F44" s="188">
        <v>90000</v>
      </c>
      <c r="G44" s="342">
        <v>1400</v>
      </c>
      <c r="H44" s="342">
        <f>1400</f>
        <v>1400</v>
      </c>
      <c r="I44" s="342">
        <f>SUM(G44-H44)</f>
        <v>0</v>
      </c>
      <c r="J44" s="308">
        <f>88600</f>
        <v>88600</v>
      </c>
      <c r="K44" s="344"/>
      <c r="L44" s="333"/>
    </row>
    <row r="45" spans="1:12" ht="15.75">
      <c r="A45" s="328">
        <v>29</v>
      </c>
      <c r="B45" s="209"/>
      <c r="C45" s="208"/>
      <c r="D45" s="270" t="s">
        <v>400</v>
      </c>
      <c r="E45" s="151">
        <v>2240</v>
      </c>
      <c r="F45" s="188">
        <v>96000</v>
      </c>
      <c r="G45" s="342">
        <v>1400</v>
      </c>
      <c r="H45" s="342">
        <f>1400</f>
        <v>1400</v>
      </c>
      <c r="I45" s="342">
        <f>SUM(G45-H45)</f>
        <v>0</v>
      </c>
      <c r="J45" s="308">
        <f>94600</f>
        <v>94600</v>
      </c>
      <c r="K45" s="344"/>
      <c r="L45" s="333"/>
    </row>
    <row r="46" spans="1:12" ht="15.75">
      <c r="A46" s="328">
        <v>30</v>
      </c>
      <c r="B46" s="209"/>
      <c r="C46" s="208"/>
      <c r="D46" s="270" t="s">
        <v>399</v>
      </c>
      <c r="E46" s="151">
        <v>2240</v>
      </c>
      <c r="F46" s="188">
        <v>85000</v>
      </c>
      <c r="G46" s="342">
        <v>1300</v>
      </c>
      <c r="H46" s="342">
        <f>1300</f>
        <v>1300</v>
      </c>
      <c r="I46" s="343">
        <f>SUM(G46-H46)</f>
        <v>0</v>
      </c>
      <c r="J46" s="308">
        <f>83700</f>
        <v>83700</v>
      </c>
      <c r="K46" s="344"/>
      <c r="L46" s="333"/>
    </row>
    <row r="47" spans="1:12" ht="15.75">
      <c r="A47" s="328">
        <v>31</v>
      </c>
      <c r="B47" s="209"/>
      <c r="C47" s="208"/>
      <c r="D47" s="270" t="s">
        <v>398</v>
      </c>
      <c r="E47" s="151">
        <v>2240</v>
      </c>
      <c r="F47" s="125">
        <v>85000</v>
      </c>
      <c r="G47" s="318">
        <v>1300</v>
      </c>
      <c r="H47" s="342">
        <f>1300</f>
        <v>1300</v>
      </c>
      <c r="I47" s="343">
        <f>SUM(G47-H47)</f>
        <v>0</v>
      </c>
      <c r="J47" s="308">
        <f>83700</f>
        <v>83700</v>
      </c>
      <c r="K47" s="333"/>
      <c r="L47" s="307"/>
    </row>
    <row r="48" spans="1:12" ht="15.75">
      <c r="A48" s="328">
        <v>32</v>
      </c>
      <c r="B48" s="209"/>
      <c r="C48" s="208"/>
      <c r="D48" s="270" t="s">
        <v>397</v>
      </c>
      <c r="E48" s="151">
        <v>2240</v>
      </c>
      <c r="F48" s="125">
        <v>92000</v>
      </c>
      <c r="G48" s="318">
        <v>1400</v>
      </c>
      <c r="H48" s="342">
        <f>1400</f>
        <v>1400</v>
      </c>
      <c r="I48" s="342">
        <f>SUM(G48-H48)</f>
        <v>0</v>
      </c>
      <c r="J48" s="308">
        <f>90600</f>
        <v>90600</v>
      </c>
      <c r="K48" s="333"/>
      <c r="L48" s="307"/>
    </row>
    <row r="49" spans="1:12" ht="16.5" customHeight="1">
      <c r="A49" s="328"/>
      <c r="B49" s="209"/>
      <c r="C49" s="208"/>
      <c r="D49" s="212" t="s">
        <v>229</v>
      </c>
      <c r="E49" s="151"/>
      <c r="F49" s="211">
        <f>SUM(F50:F51)</f>
        <v>199896</v>
      </c>
      <c r="G49" s="336">
        <f>SUM(G50:G51)</f>
        <v>3634</v>
      </c>
      <c r="H49" s="336">
        <f>SUM(H50:H51)</f>
        <v>3634</v>
      </c>
      <c r="I49" s="336">
        <f>SUM(I50:I51)</f>
        <v>0</v>
      </c>
      <c r="J49" s="310">
        <f>SUM(J50:J51)</f>
        <v>196262</v>
      </c>
      <c r="K49" s="307">
        <f>SUM(K50:K51)</f>
        <v>0</v>
      </c>
      <c r="L49" s="307">
        <f>SUM(L50:L51)</f>
        <v>0</v>
      </c>
    </row>
    <row r="50" spans="1:12" ht="15.75">
      <c r="A50" s="328">
        <v>33</v>
      </c>
      <c r="B50" s="209"/>
      <c r="C50" s="208"/>
      <c r="D50" s="158" t="s">
        <v>396</v>
      </c>
      <c r="E50" s="151">
        <v>2240</v>
      </c>
      <c r="F50" s="125">
        <v>99948</v>
      </c>
      <c r="G50" s="318">
        <v>1818</v>
      </c>
      <c r="H50" s="342">
        <f>1818</f>
        <v>1818</v>
      </c>
      <c r="I50" s="318">
        <f>SUM(G50-H50)</f>
        <v>0</v>
      </c>
      <c r="J50" s="308">
        <f>98130</f>
        <v>98130</v>
      </c>
      <c r="K50" s="333"/>
      <c r="L50" s="333"/>
    </row>
    <row r="51" spans="1:12" ht="15.75">
      <c r="A51" s="328">
        <v>34</v>
      </c>
      <c r="B51" s="209"/>
      <c r="C51" s="208"/>
      <c r="D51" s="158" t="s">
        <v>395</v>
      </c>
      <c r="E51" s="151">
        <v>2240</v>
      </c>
      <c r="F51" s="125">
        <v>99948</v>
      </c>
      <c r="G51" s="318">
        <v>1816</v>
      </c>
      <c r="H51" s="342">
        <f>1816</f>
        <v>1816</v>
      </c>
      <c r="I51" s="318">
        <f>SUM(G51-H51)</f>
        <v>0</v>
      </c>
      <c r="J51" s="308">
        <f>98132</f>
        <v>98132</v>
      </c>
      <c r="K51" s="333"/>
      <c r="L51" s="333"/>
    </row>
    <row r="52" spans="1:12" ht="15.75" customHeight="1">
      <c r="A52" s="285"/>
      <c r="B52" s="209">
        <v>138</v>
      </c>
      <c r="C52" s="208"/>
      <c r="D52" s="207" t="s">
        <v>227</v>
      </c>
      <c r="E52" s="126"/>
      <c r="F52" s="206">
        <f>SUM(F53:F54)</f>
        <v>886120</v>
      </c>
      <c r="G52" s="341">
        <f>SUM(G53:G54)</f>
        <v>806501</v>
      </c>
      <c r="H52" s="341">
        <f>SUM(H53:H54)</f>
        <v>806501</v>
      </c>
      <c r="I52" s="336">
        <f>SUM(I53:I54)</f>
        <v>0</v>
      </c>
      <c r="J52" s="310">
        <f>SUM(J53:J60)</f>
        <v>363048.87</v>
      </c>
      <c r="K52" s="325">
        <f>SUM(K53:K54)</f>
        <v>0</v>
      </c>
      <c r="L52" s="325">
        <f>SUM(L53:L54)</f>
        <v>0</v>
      </c>
    </row>
    <row r="53" spans="1:12" ht="17.25" customHeight="1">
      <c r="A53" s="285">
        <v>35</v>
      </c>
      <c r="B53" s="72"/>
      <c r="C53" s="72"/>
      <c r="D53" s="127" t="s">
        <v>394</v>
      </c>
      <c r="E53" s="151">
        <v>3132</v>
      </c>
      <c r="F53" s="188">
        <f>200000+451400+154720</f>
        <v>806120</v>
      </c>
      <c r="G53" s="340">
        <f>423194+378523+3624</f>
        <v>805341</v>
      </c>
      <c r="H53" s="340">
        <f>237870+3073+6523+372000+182251+3624</f>
        <v>805341</v>
      </c>
      <c r="I53" s="318">
        <f>SUM(G53-H53)</f>
        <v>0</v>
      </c>
      <c r="J53" s="308">
        <f>779</f>
        <v>779</v>
      </c>
      <c r="K53" s="339"/>
      <c r="L53" s="308"/>
    </row>
    <row r="54" spans="1:12" ht="15.75">
      <c r="A54" s="328">
        <v>36</v>
      </c>
      <c r="D54" s="127" t="s">
        <v>393</v>
      </c>
      <c r="E54" s="151">
        <v>2240</v>
      </c>
      <c r="F54" s="246">
        <v>80000</v>
      </c>
      <c r="G54" s="319">
        <v>1160</v>
      </c>
      <c r="H54" s="319">
        <f>1160</f>
        <v>1160</v>
      </c>
      <c r="I54" s="318">
        <f>SUM(G54-H54)</f>
        <v>0</v>
      </c>
      <c r="J54" s="308">
        <f>78840</f>
        <v>78840</v>
      </c>
      <c r="K54" s="333"/>
      <c r="L54" s="333"/>
    </row>
    <row r="55" spans="1:12" ht="30" customHeight="1">
      <c r="A55" s="285">
        <v>37</v>
      </c>
      <c r="B55" s="209"/>
      <c r="C55" s="208"/>
      <c r="D55" s="326" t="s">
        <v>392</v>
      </c>
      <c r="E55" s="222">
        <v>2240</v>
      </c>
      <c r="F55" s="125">
        <v>30000</v>
      </c>
      <c r="G55" s="318">
        <v>440</v>
      </c>
      <c r="H55" s="318">
        <v>440</v>
      </c>
      <c r="I55" s="318">
        <v>0</v>
      </c>
      <c r="J55" s="308">
        <v>29560</v>
      </c>
      <c r="K55" s="325"/>
      <c r="L55" s="338"/>
    </row>
    <row r="56" spans="1:12" ht="29.25" customHeight="1">
      <c r="A56" s="285">
        <v>38</v>
      </c>
      <c r="B56" s="209"/>
      <c r="C56" s="208"/>
      <c r="D56" s="326" t="s">
        <v>391</v>
      </c>
      <c r="E56" s="222">
        <v>2240</v>
      </c>
      <c r="F56" s="125">
        <v>80000</v>
      </c>
      <c r="G56" s="318">
        <v>1160</v>
      </c>
      <c r="H56" s="318">
        <v>1160</v>
      </c>
      <c r="I56" s="318">
        <v>0</v>
      </c>
      <c r="J56" s="308">
        <v>78840</v>
      </c>
      <c r="K56" s="325"/>
      <c r="L56" s="338"/>
    </row>
    <row r="57" spans="1:12" ht="15.75">
      <c r="A57" s="285">
        <v>39</v>
      </c>
      <c r="B57" s="209"/>
      <c r="C57" s="208"/>
      <c r="D57" s="326" t="s">
        <v>390</v>
      </c>
      <c r="E57" s="222">
        <v>2240</v>
      </c>
      <c r="F57" s="125">
        <v>40000</v>
      </c>
      <c r="G57" s="318">
        <v>9290</v>
      </c>
      <c r="H57" s="318">
        <v>9290</v>
      </c>
      <c r="I57" s="318">
        <v>0</v>
      </c>
      <c r="J57" s="308">
        <v>30710</v>
      </c>
      <c r="K57" s="325"/>
      <c r="L57" s="338"/>
    </row>
    <row r="58" spans="1:12" ht="15.75">
      <c r="A58" s="285">
        <v>40</v>
      </c>
      <c r="B58" s="209"/>
      <c r="C58" s="208"/>
      <c r="D58" s="326" t="s">
        <v>389</v>
      </c>
      <c r="E58" s="222">
        <v>2240</v>
      </c>
      <c r="F58" s="125">
        <v>50000</v>
      </c>
      <c r="G58" s="318">
        <v>730</v>
      </c>
      <c r="H58" s="318">
        <v>730</v>
      </c>
      <c r="I58" s="318">
        <v>0</v>
      </c>
      <c r="J58" s="308">
        <v>49270</v>
      </c>
      <c r="K58" s="339"/>
      <c r="L58" s="338"/>
    </row>
    <row r="59" spans="1:12" ht="15.75">
      <c r="A59" s="285">
        <v>41</v>
      </c>
      <c r="B59" s="227"/>
      <c r="C59" s="208"/>
      <c r="D59" s="326" t="s">
        <v>388</v>
      </c>
      <c r="E59" s="222">
        <v>2240</v>
      </c>
      <c r="F59" s="146">
        <v>80000</v>
      </c>
      <c r="G59" s="318">
        <v>1158</v>
      </c>
      <c r="H59" s="318">
        <v>1158</v>
      </c>
      <c r="I59" s="318">
        <v>0</v>
      </c>
      <c r="J59" s="308">
        <v>78842</v>
      </c>
      <c r="K59" s="325"/>
      <c r="L59" s="338"/>
    </row>
    <row r="60" spans="1:12" ht="15.75">
      <c r="A60" s="285">
        <v>42</v>
      </c>
      <c r="B60" s="227"/>
      <c r="C60" s="208"/>
      <c r="D60" s="326" t="s">
        <v>387</v>
      </c>
      <c r="E60" s="222">
        <v>2240</v>
      </c>
      <c r="F60" s="125">
        <v>80000</v>
      </c>
      <c r="G60" s="318">
        <v>63792.13</v>
      </c>
      <c r="H60" s="318">
        <v>63792.13</v>
      </c>
      <c r="I60" s="318">
        <v>0</v>
      </c>
      <c r="J60" s="308">
        <v>16207.870000000003</v>
      </c>
      <c r="K60" s="333"/>
      <c r="L60" s="333"/>
    </row>
    <row r="61" spans="1:12" ht="16.5" customHeight="1">
      <c r="A61" s="329"/>
      <c r="D61" s="154" t="s">
        <v>221</v>
      </c>
      <c r="E61" s="151"/>
      <c r="F61" s="198">
        <f>SUM(F64:F73)</f>
        <v>898000</v>
      </c>
      <c r="G61" s="337">
        <f>SUM(G64:G73)</f>
        <v>13399</v>
      </c>
      <c r="H61" s="337">
        <f>SUM(H64:H73)</f>
        <v>13399</v>
      </c>
      <c r="I61" s="336">
        <f>SUM(I64:I73)</f>
        <v>0</v>
      </c>
      <c r="J61" s="310">
        <f>SUM(J62:J73)</f>
        <v>1100481</v>
      </c>
      <c r="K61" s="325">
        <f>SUM(K67:K73)</f>
        <v>0</v>
      </c>
      <c r="L61" s="325">
        <f>SUM(L67:L73)</f>
        <v>0</v>
      </c>
    </row>
    <row r="62" spans="1:12" ht="16.5" customHeight="1">
      <c r="A62" s="328">
        <v>43</v>
      </c>
      <c r="B62" s="227"/>
      <c r="C62" s="208"/>
      <c r="D62" s="326" t="s">
        <v>386</v>
      </c>
      <c r="E62" s="222">
        <v>3132</v>
      </c>
      <c r="F62" s="125">
        <v>100271</v>
      </c>
      <c r="G62" s="318">
        <v>92176</v>
      </c>
      <c r="H62" s="318">
        <v>92176</v>
      </c>
      <c r="I62" s="318">
        <v>0</v>
      </c>
      <c r="J62" s="308">
        <v>4764</v>
      </c>
      <c r="K62" s="321"/>
      <c r="L62" s="321"/>
    </row>
    <row r="63" spans="1:12" ht="16.5" customHeight="1">
      <c r="A63" s="328">
        <v>44</v>
      </c>
      <c r="B63" s="227"/>
      <c r="C63" s="208"/>
      <c r="D63" s="335" t="s">
        <v>385</v>
      </c>
      <c r="E63" s="222">
        <v>3132</v>
      </c>
      <c r="F63" s="125">
        <v>300000</v>
      </c>
      <c r="G63" s="318"/>
      <c r="H63" s="318"/>
      <c r="I63" s="318">
        <v>0</v>
      </c>
      <c r="J63" s="308">
        <v>288344</v>
      </c>
      <c r="K63" s="321"/>
      <c r="L63" s="321"/>
    </row>
    <row r="64" spans="1:12" ht="15.75">
      <c r="A64" s="329">
        <v>45</v>
      </c>
      <c r="D64" s="127" t="s">
        <v>384</v>
      </c>
      <c r="E64" s="151">
        <v>2240</v>
      </c>
      <c r="F64" s="267">
        <v>100000</v>
      </c>
      <c r="G64" s="319">
        <v>1521</v>
      </c>
      <c r="H64" s="319">
        <f>1521</f>
        <v>1521</v>
      </c>
      <c r="I64" s="318">
        <f>SUM(G64-H64)</f>
        <v>0</v>
      </c>
      <c r="J64" s="317">
        <v>85999</v>
      </c>
      <c r="K64" s="334"/>
      <c r="L64" s="316"/>
    </row>
    <row r="65" spans="1:12" ht="15.75">
      <c r="A65" s="329">
        <v>46</v>
      </c>
      <c r="D65" s="127" t="s">
        <v>383</v>
      </c>
      <c r="E65" s="151">
        <v>2240</v>
      </c>
      <c r="F65" s="267">
        <v>100000</v>
      </c>
      <c r="G65" s="319">
        <v>1373</v>
      </c>
      <c r="H65" s="319">
        <f>1373</f>
        <v>1373</v>
      </c>
      <c r="I65" s="318">
        <f>SUM(G65-H65)</f>
        <v>0</v>
      </c>
      <c r="J65" s="317">
        <v>77677</v>
      </c>
      <c r="K65" s="334"/>
      <c r="L65" s="315"/>
    </row>
    <row r="66" spans="1:12" ht="29.25" customHeight="1">
      <c r="A66" s="329">
        <v>47</v>
      </c>
      <c r="D66" s="127" t="s">
        <v>382</v>
      </c>
      <c r="E66" s="151">
        <v>2240</v>
      </c>
      <c r="F66" s="267">
        <v>100000</v>
      </c>
      <c r="G66" s="319">
        <v>1450</v>
      </c>
      <c r="H66" s="319">
        <f>1450</f>
        <v>1450</v>
      </c>
      <c r="I66" s="318">
        <f>SUM(G66-H66)</f>
        <v>0</v>
      </c>
      <c r="J66" s="317">
        <f>98550</f>
        <v>98550</v>
      </c>
      <c r="K66" s="334"/>
      <c r="L66" s="327"/>
    </row>
    <row r="67" spans="1:12" ht="15.75">
      <c r="A67" s="328">
        <v>48</v>
      </c>
      <c r="B67" s="227"/>
      <c r="C67" s="208"/>
      <c r="D67" s="326" t="s">
        <v>381</v>
      </c>
      <c r="E67" s="222">
        <v>2240</v>
      </c>
      <c r="F67" s="125">
        <v>60000</v>
      </c>
      <c r="G67" s="318">
        <v>868</v>
      </c>
      <c r="H67" s="318">
        <v>868</v>
      </c>
      <c r="I67" s="318">
        <v>0</v>
      </c>
      <c r="J67" s="308">
        <v>59132</v>
      </c>
      <c r="K67" s="333"/>
      <c r="L67" s="307"/>
    </row>
    <row r="68" spans="1:12" ht="15.75">
      <c r="A68" s="329">
        <v>49</v>
      </c>
      <c r="B68" s="227"/>
      <c r="C68" s="208"/>
      <c r="D68" s="326" t="s">
        <v>380</v>
      </c>
      <c r="E68" s="222">
        <v>2240</v>
      </c>
      <c r="F68" s="125">
        <v>38000</v>
      </c>
      <c r="G68" s="318">
        <v>557</v>
      </c>
      <c r="H68" s="318">
        <v>557</v>
      </c>
      <c r="I68" s="318">
        <v>0</v>
      </c>
      <c r="J68" s="308">
        <v>37443</v>
      </c>
      <c r="K68" s="333"/>
      <c r="L68" s="307"/>
    </row>
    <row r="69" spans="1:12" ht="15.75">
      <c r="A69" s="328">
        <v>50</v>
      </c>
      <c r="D69" s="127" t="s">
        <v>379</v>
      </c>
      <c r="E69" s="195">
        <v>2240</v>
      </c>
      <c r="F69" s="164">
        <v>100000</v>
      </c>
      <c r="G69" s="332">
        <v>1617</v>
      </c>
      <c r="H69" s="332">
        <f>1617</f>
        <v>1617</v>
      </c>
      <c r="I69" s="318">
        <f>SUM(G69-H69)</f>
        <v>0</v>
      </c>
      <c r="J69" s="331">
        <f>91625</f>
        <v>91625</v>
      </c>
      <c r="K69" s="330"/>
      <c r="L69" s="330"/>
    </row>
    <row r="70" spans="1:12" ht="15.75">
      <c r="A70" s="329">
        <v>51</v>
      </c>
      <c r="D70" s="127" t="s">
        <v>378</v>
      </c>
      <c r="E70" s="195">
        <v>2240</v>
      </c>
      <c r="F70" s="132">
        <v>100000</v>
      </c>
      <c r="G70" s="319">
        <v>1475</v>
      </c>
      <c r="H70" s="319">
        <f>1475</f>
        <v>1475</v>
      </c>
      <c r="I70" s="318">
        <f>SUM(G70-H70)</f>
        <v>0</v>
      </c>
      <c r="J70" s="317">
        <f>83455</f>
        <v>83455</v>
      </c>
      <c r="K70" s="316"/>
      <c r="L70" s="315"/>
    </row>
    <row r="71" spans="1:12" ht="15.75">
      <c r="A71" s="328">
        <v>52</v>
      </c>
      <c r="D71" s="127" t="s">
        <v>377</v>
      </c>
      <c r="E71" s="151">
        <v>2240</v>
      </c>
      <c r="F71" s="132">
        <v>100000</v>
      </c>
      <c r="G71" s="319">
        <v>1602</v>
      </c>
      <c r="H71" s="319">
        <f>1602</f>
        <v>1602</v>
      </c>
      <c r="I71" s="318">
        <f>SUM(G71-H71)</f>
        <v>0</v>
      </c>
      <c r="J71" s="317">
        <v>90808</v>
      </c>
      <c r="K71" s="316"/>
      <c r="L71" s="315"/>
    </row>
    <row r="72" spans="1:12" ht="15.75">
      <c r="A72" s="329">
        <v>53</v>
      </c>
      <c r="D72" s="127" t="s">
        <v>376</v>
      </c>
      <c r="E72" s="151">
        <v>2240</v>
      </c>
      <c r="F72" s="132">
        <v>100000</v>
      </c>
      <c r="G72" s="319">
        <v>1489</v>
      </c>
      <c r="H72" s="319">
        <f>1489</f>
        <v>1489</v>
      </c>
      <c r="I72" s="318">
        <f>SUM(G72-H72)</f>
        <v>0</v>
      </c>
      <c r="J72" s="317">
        <v>84131</v>
      </c>
      <c r="K72" s="316"/>
      <c r="L72" s="315"/>
    </row>
    <row r="73" spans="1:12" ht="15.75">
      <c r="A73" s="328">
        <v>54</v>
      </c>
      <c r="D73" s="127" t="s">
        <v>375</v>
      </c>
      <c r="E73" s="151">
        <v>2240</v>
      </c>
      <c r="F73" s="132">
        <v>100000</v>
      </c>
      <c r="G73" s="319">
        <v>1447</v>
      </c>
      <c r="H73" s="319">
        <f>1447</f>
        <v>1447</v>
      </c>
      <c r="I73" s="318">
        <f>SUM(G73-H73)</f>
        <v>0</v>
      </c>
      <c r="J73" s="317">
        <f>98553</f>
        <v>98553</v>
      </c>
      <c r="K73" s="316"/>
      <c r="L73" s="321"/>
    </row>
    <row r="74" spans="1:12" ht="15" customHeight="1">
      <c r="A74" s="320"/>
      <c r="D74" s="176" t="s">
        <v>189</v>
      </c>
      <c r="E74" s="151"/>
      <c r="F74" s="175">
        <f>SUM(F75:F75)</f>
        <v>300000</v>
      </c>
      <c r="G74" s="323">
        <f>SUM(G75:G75)</f>
        <v>244863</v>
      </c>
      <c r="H74" s="323">
        <f>SUM(H75:H75)</f>
        <v>244863</v>
      </c>
      <c r="I74" s="323">
        <f>SUM(I75:I75)</f>
        <v>0</v>
      </c>
      <c r="J74" s="310">
        <f>SUM(J75:J75)</f>
        <v>36116</v>
      </c>
      <c r="K74" s="321"/>
      <c r="L74" s="327"/>
    </row>
    <row r="75" spans="1:12" ht="15.75">
      <c r="A75" s="285">
        <v>55</v>
      </c>
      <c r="B75" s="209">
        <v>78</v>
      </c>
      <c r="C75" s="216"/>
      <c r="D75" s="326" t="s">
        <v>374</v>
      </c>
      <c r="E75" s="217">
        <v>3132</v>
      </c>
      <c r="F75" s="125">
        <v>300000</v>
      </c>
      <c r="G75" s="318">
        <v>244863</v>
      </c>
      <c r="H75" s="318">
        <f>4863+120000+120000</f>
        <v>244863</v>
      </c>
      <c r="I75" s="318">
        <f>SUM(G75-H75)</f>
        <v>0</v>
      </c>
      <c r="J75" s="308">
        <f>36116</f>
        <v>36116</v>
      </c>
      <c r="K75" s="325"/>
      <c r="L75" s="325"/>
    </row>
    <row r="76" spans="1:12" ht="16.5" customHeight="1">
      <c r="A76" s="320"/>
      <c r="D76" s="324" t="s">
        <v>373</v>
      </c>
      <c r="E76" s="157"/>
      <c r="F76" s="175">
        <f>SUM(F77:F80)</f>
        <v>1385000</v>
      </c>
      <c r="G76" s="323">
        <f>SUM(G77:G80)</f>
        <v>1249261.6</v>
      </c>
      <c r="H76" s="323">
        <f>SUM(H77:H80)</f>
        <v>1249261.6</v>
      </c>
      <c r="I76" s="323">
        <f>SUM(I77:I80)</f>
        <v>0</v>
      </c>
      <c r="J76" s="322">
        <f>SUM(J77:J80)</f>
        <v>50682.4</v>
      </c>
      <c r="K76" s="321">
        <f>SUM(K77:K80)</f>
        <v>0</v>
      </c>
      <c r="L76" s="321">
        <f>SUM(L77:L80)</f>
        <v>0</v>
      </c>
    </row>
    <row r="77" spans="1:12" ht="20.25" customHeight="1">
      <c r="A77" s="320">
        <v>56</v>
      </c>
      <c r="D77" s="158" t="s">
        <v>372</v>
      </c>
      <c r="E77" s="157">
        <v>3132</v>
      </c>
      <c r="F77" s="132">
        <v>470000</v>
      </c>
      <c r="G77" s="319">
        <f>470000-279712+195000+84712-49002.4</f>
        <v>420997.6</v>
      </c>
      <c r="H77" s="319">
        <f>7710+300000+39442.77+24540.36+7925.87+18263.6+2414.97+20700.03</f>
        <v>420997.6</v>
      </c>
      <c r="I77" s="318">
        <f>SUM(G77-H77)</f>
        <v>0</v>
      </c>
      <c r="J77" s="317">
        <f>49002.4-2414.97-20700.03+23115</f>
        <v>49002.4</v>
      </c>
      <c r="K77" s="321"/>
      <c r="L77" s="321"/>
    </row>
    <row r="78" spans="1:12" ht="16.5" customHeight="1">
      <c r="A78" s="320">
        <v>57</v>
      </c>
      <c r="D78" s="158" t="s">
        <v>371</v>
      </c>
      <c r="E78" s="157">
        <v>3132</v>
      </c>
      <c r="F78" s="132">
        <f>110000+340000</f>
        <v>450000</v>
      </c>
      <c r="G78" s="319">
        <f>110000-96940-8484+406331-560</f>
        <v>410347</v>
      </c>
      <c r="H78" s="319">
        <f>7094.7+403252.3</f>
        <v>410347</v>
      </c>
      <c r="I78" s="318">
        <f>SUM(G78-H78)</f>
        <v>0</v>
      </c>
      <c r="J78" s="317">
        <f>560</f>
        <v>560</v>
      </c>
      <c r="K78" s="316"/>
      <c r="L78" s="315"/>
    </row>
    <row r="79" spans="1:12" ht="16.5" customHeight="1">
      <c r="A79" s="320">
        <v>58</v>
      </c>
      <c r="D79" s="158" t="s">
        <v>370</v>
      </c>
      <c r="E79" s="157">
        <v>3132</v>
      </c>
      <c r="F79" s="132">
        <f>110000+160000</f>
        <v>270000</v>
      </c>
      <c r="G79" s="319">
        <f>25288+236442-560</f>
        <v>261170</v>
      </c>
      <c r="H79" s="319">
        <f>4511.56+256658.44</f>
        <v>261170</v>
      </c>
      <c r="I79" s="318">
        <f>SUM(G79-H79)</f>
        <v>0</v>
      </c>
      <c r="J79" s="317">
        <f>560</f>
        <v>560</v>
      </c>
      <c r="K79" s="316"/>
      <c r="L79" s="315"/>
    </row>
    <row r="80" spans="1:12" ht="15.75">
      <c r="A80" s="320">
        <v>59</v>
      </c>
      <c r="D80" s="158" t="s">
        <v>369</v>
      </c>
      <c r="E80" s="157">
        <v>3132</v>
      </c>
      <c r="F80" s="132">
        <v>195000</v>
      </c>
      <c r="G80" s="319">
        <f>157307-560</f>
        <v>156747</v>
      </c>
      <c r="H80" s="319">
        <f>2684.96+154062.04</f>
        <v>156747</v>
      </c>
      <c r="I80" s="318">
        <f>SUM(G80-H80)</f>
        <v>0</v>
      </c>
      <c r="J80" s="317">
        <f>560</f>
        <v>560</v>
      </c>
      <c r="K80" s="316"/>
      <c r="L80" s="315"/>
    </row>
    <row r="81" spans="1:12" ht="14.25" customHeight="1">
      <c r="A81" s="314" t="s">
        <v>368</v>
      </c>
      <c r="B81" s="313"/>
      <c r="C81" s="313"/>
      <c r="D81" s="312"/>
      <c r="E81" s="151"/>
      <c r="F81" s="250"/>
      <c r="G81" s="311"/>
      <c r="H81" s="311"/>
      <c r="I81" s="311"/>
      <c r="J81" s="310">
        <f>J9+J11+J21+J26+J31+J34+J36+J40+J49+J52+J61+J74+J76</f>
        <v>4423725.600000001</v>
      </c>
      <c r="K81" s="309"/>
      <c r="L81" s="309"/>
    </row>
    <row r="82" spans="1:12" ht="18" customHeight="1">
      <c r="A82" s="306" t="s">
        <v>157</v>
      </c>
      <c r="B82" s="305"/>
      <c r="C82" s="305"/>
      <c r="D82" s="304"/>
      <c r="E82" s="117"/>
      <c r="F82" s="116"/>
      <c r="G82" s="307"/>
      <c r="H82" s="307"/>
      <c r="I82" s="307"/>
      <c r="J82" s="308">
        <f>J10+J12+J13+J14+J15+J16+J22+J23+J24+J25+J35+J37+J41+J53+J62+J63+J75+J77+J78+J79+J80</f>
        <v>1354094.73</v>
      </c>
      <c r="K82" s="307"/>
      <c r="L82" s="307"/>
    </row>
    <row r="83" spans="1:12" ht="15.75">
      <c r="A83" s="306" t="s">
        <v>156</v>
      </c>
      <c r="B83" s="305"/>
      <c r="C83" s="305"/>
      <c r="D83" s="304"/>
      <c r="E83" s="117"/>
      <c r="F83" s="116"/>
      <c r="G83" s="303">
        <f>J81-J82</f>
        <v>3069630.8700000006</v>
      </c>
      <c r="H83" s="303"/>
      <c r="I83" s="303"/>
      <c r="J83" s="303"/>
      <c r="K83" s="303"/>
      <c r="L83" s="303"/>
    </row>
    <row r="84" ht="145.5" customHeight="1"/>
    <row r="85" spans="1:10" ht="31.5">
      <c r="A85" s="302" t="s">
        <v>122</v>
      </c>
      <c r="B85" s="302"/>
      <c r="C85" s="302"/>
      <c r="D85" s="302"/>
      <c r="E85" s="75"/>
      <c r="F85" s="75"/>
      <c r="G85" s="74" t="s">
        <v>70</v>
      </c>
      <c r="H85" s="110"/>
      <c r="I85" s="110"/>
      <c r="J85" s="74" t="s">
        <v>70</v>
      </c>
    </row>
  </sheetData>
  <sheetProtection/>
  <mergeCells count="17">
    <mergeCell ref="A85:D85"/>
    <mergeCell ref="L6:L7"/>
    <mergeCell ref="I6:I7"/>
    <mergeCell ref="J6:J7"/>
    <mergeCell ref="G83:L83"/>
    <mergeCell ref="A83:D83"/>
    <mergeCell ref="A81:D81"/>
    <mergeCell ref="A6:A7"/>
    <mergeCell ref="A82:D82"/>
    <mergeCell ref="B4:L4"/>
    <mergeCell ref="G6:G7"/>
    <mergeCell ref="E6:E7"/>
    <mergeCell ref="H6:H7"/>
    <mergeCell ref="K6:K7"/>
    <mergeCell ref="B6:B7"/>
    <mergeCell ref="F6:F7"/>
    <mergeCell ref="D6:D7"/>
  </mergeCells>
  <printOptions/>
  <pageMargins left="0.6299212598425197" right="0.2362204724409449" top="0.3937007874015748" bottom="0.3937007874015748" header="0.15748031496062992" footer="0.1968503937007874"/>
  <pageSetup horizontalDpi="300" verticalDpi="300" orientation="portrait" paperSize="9" scale="86" r:id="rId1"/>
  <headerFooter differentFirst="1" alignWithMargins="0">
    <oddHeader>&amp;C&amp;"Times New Roman,звичайний"&amp;8&amp;P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15"/>
  <sheetViews>
    <sheetView showZeros="0" view="pageBreakPreview" zoomScaleSheetLayoutView="100" zoomScalePageLayoutView="0" workbookViewId="0" topLeftCell="G1">
      <pane ySplit="4110" topLeftCell="A19" activePane="topLeft" state="split"/>
      <selection pane="topLeft" activeCell="A4" sqref="A4:M4"/>
      <selection pane="bottomLeft" activeCell="D20" sqref="D20"/>
    </sheetView>
  </sheetViews>
  <sheetFormatPr defaultColWidth="9.00390625" defaultRowHeight="12.75"/>
  <cols>
    <col min="1" max="1" width="12.125" style="562" customWidth="1"/>
    <col min="2" max="2" width="34.00390625" style="561" customWidth="1"/>
    <col min="3" max="3" width="18.00390625" style="559" customWidth="1"/>
    <col min="4" max="4" width="9.25390625" style="558" customWidth="1"/>
    <col min="5" max="5" width="13.875" style="558" customWidth="1"/>
    <col min="6" max="6" width="17.875" style="560" customWidth="1"/>
    <col min="7" max="7" width="18.125" style="558" customWidth="1"/>
    <col min="8" max="8" width="6.25390625" style="558" customWidth="1"/>
    <col min="9" max="9" width="10.875" style="558" customWidth="1"/>
    <col min="10" max="10" width="18.625" style="558" customWidth="1"/>
    <col min="11" max="11" width="18.00390625" style="558" bestFit="1" customWidth="1"/>
    <col min="12" max="12" width="19.75390625" style="558" customWidth="1"/>
    <col min="13" max="13" width="23.625" style="559" customWidth="1"/>
    <col min="14" max="14" width="14.875" style="558" customWidth="1"/>
    <col min="15" max="15" width="11.625" style="558" bestFit="1" customWidth="1"/>
    <col min="16" max="16" width="9.125" style="558" customWidth="1"/>
    <col min="17" max="17" width="9.875" style="558" bestFit="1" customWidth="1"/>
    <col min="18" max="16384" width="9.125" style="558" customWidth="1"/>
  </cols>
  <sheetData>
    <row r="1" ht="12.75">
      <c r="L1" s="669" t="s">
        <v>906</v>
      </c>
    </row>
    <row r="2" spans="1:12" ht="12.75">
      <c r="A2" s="671"/>
      <c r="B2" s="665"/>
      <c r="C2" s="670"/>
      <c r="L2" s="558" t="s">
        <v>551</v>
      </c>
    </row>
    <row r="3" spans="1:12" ht="12.75">
      <c r="A3" s="671"/>
      <c r="B3" s="665"/>
      <c r="C3" s="670"/>
      <c r="L3" s="669" t="s">
        <v>817</v>
      </c>
    </row>
    <row r="4" spans="1:13" ht="20.25">
      <c r="A4" s="667" t="s">
        <v>816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</row>
    <row r="5" spans="1:13" ht="20.25">
      <c r="A5" s="667" t="s">
        <v>815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</row>
    <row r="6" spans="1:13" ht="12.75">
      <c r="A6" s="666"/>
      <c r="B6" s="665"/>
      <c r="M6" s="664" t="s">
        <v>591</v>
      </c>
    </row>
    <row r="7" spans="1:13" ht="55.5" customHeight="1">
      <c r="A7" s="663" t="s">
        <v>813</v>
      </c>
      <c r="B7" s="662" t="s">
        <v>10</v>
      </c>
      <c r="C7" s="661" t="s">
        <v>812</v>
      </c>
      <c r="D7" s="661"/>
      <c r="E7" s="661"/>
      <c r="F7" s="661" t="s">
        <v>811</v>
      </c>
      <c r="G7" s="661"/>
      <c r="H7" s="661"/>
      <c r="I7" s="661"/>
      <c r="J7" s="661"/>
      <c r="K7" s="661"/>
      <c r="L7" s="661"/>
      <c r="M7" s="654" t="s">
        <v>534</v>
      </c>
    </row>
    <row r="8" spans="1:13" ht="14.25" customHeight="1">
      <c r="A8" s="659" t="s">
        <v>508</v>
      </c>
      <c r="B8" s="658" t="s">
        <v>11</v>
      </c>
      <c r="C8" s="657" t="s">
        <v>0</v>
      </c>
      <c r="D8" s="657" t="s">
        <v>803</v>
      </c>
      <c r="E8" s="657"/>
      <c r="F8" s="657" t="s">
        <v>0</v>
      </c>
      <c r="G8" s="656" t="s">
        <v>808</v>
      </c>
      <c r="H8" s="657" t="s">
        <v>803</v>
      </c>
      <c r="I8" s="657"/>
      <c r="J8" s="656" t="s">
        <v>807</v>
      </c>
      <c r="K8" s="656" t="s">
        <v>803</v>
      </c>
      <c r="L8" s="656"/>
      <c r="M8" s="654"/>
    </row>
    <row r="9" spans="1:13" ht="13.5" customHeight="1">
      <c r="A9" s="659"/>
      <c r="B9" s="658"/>
      <c r="C9" s="657"/>
      <c r="D9" s="656" t="s">
        <v>806</v>
      </c>
      <c r="E9" s="656" t="s">
        <v>805</v>
      </c>
      <c r="F9" s="657"/>
      <c r="G9" s="656"/>
      <c r="H9" s="711" t="s">
        <v>806</v>
      </c>
      <c r="I9" s="711" t="s">
        <v>805</v>
      </c>
      <c r="J9" s="656"/>
      <c r="K9" s="656" t="s">
        <v>804</v>
      </c>
      <c r="L9" s="660" t="s">
        <v>803</v>
      </c>
      <c r="M9" s="654"/>
    </row>
    <row r="10" spans="1:13" ht="104.25" customHeight="1">
      <c r="A10" s="659"/>
      <c r="B10" s="658"/>
      <c r="C10" s="657"/>
      <c r="D10" s="656"/>
      <c r="E10" s="656"/>
      <c r="F10" s="657"/>
      <c r="G10" s="656"/>
      <c r="H10" s="711"/>
      <c r="I10" s="711"/>
      <c r="J10" s="656"/>
      <c r="K10" s="656"/>
      <c r="L10" s="655" t="s">
        <v>802</v>
      </c>
      <c r="M10" s="654"/>
    </row>
    <row r="11" spans="1:14" ht="12.75" customHeight="1">
      <c r="A11" s="653">
        <v>1</v>
      </c>
      <c r="B11" s="652">
        <v>2</v>
      </c>
      <c r="C11" s="651">
        <v>3</v>
      </c>
      <c r="D11" s="651">
        <v>4</v>
      </c>
      <c r="E11" s="651">
        <v>5</v>
      </c>
      <c r="F11" s="651">
        <v>6</v>
      </c>
      <c r="G11" s="651">
        <v>7</v>
      </c>
      <c r="H11" s="651">
        <v>8</v>
      </c>
      <c r="I11" s="651">
        <v>9</v>
      </c>
      <c r="J11" s="651">
        <v>10</v>
      </c>
      <c r="K11" s="651">
        <v>11</v>
      </c>
      <c r="L11" s="651">
        <v>12</v>
      </c>
      <c r="M11" s="651" t="s">
        <v>905</v>
      </c>
      <c r="N11" s="672"/>
    </row>
    <row r="12" spans="1:14" s="582" customFormat="1" ht="16.5">
      <c r="A12" s="594" t="s">
        <v>26</v>
      </c>
      <c r="B12" s="611" t="s">
        <v>27</v>
      </c>
      <c r="C12" s="592">
        <f>C13</f>
        <v>0</v>
      </c>
      <c r="D12" s="592">
        <f>D13</f>
        <v>0</v>
      </c>
      <c r="E12" s="592">
        <f>E13</f>
        <v>0</v>
      </c>
      <c r="F12" s="592">
        <f>F13</f>
        <v>458980.44</v>
      </c>
      <c r="G12" s="592">
        <f>G13</f>
        <v>0</v>
      </c>
      <c r="H12" s="592">
        <f>H13</f>
        <v>0</v>
      </c>
      <c r="I12" s="592">
        <f>I13</f>
        <v>0</v>
      </c>
      <c r="J12" s="592">
        <f>J13</f>
        <v>458980.44</v>
      </c>
      <c r="K12" s="592">
        <f>K13</f>
        <v>458980.44</v>
      </c>
      <c r="L12" s="592">
        <f>L13</f>
        <v>0</v>
      </c>
      <c r="M12" s="592">
        <f>C12+F12</f>
        <v>458980.44</v>
      </c>
      <c r="N12" s="672"/>
    </row>
    <row r="13" spans="1:14" s="650" customFormat="1" ht="31.5">
      <c r="A13" s="684" t="s">
        <v>904</v>
      </c>
      <c r="B13" s="690" t="s">
        <v>903</v>
      </c>
      <c r="C13" s="605">
        <f>C16</f>
        <v>0</v>
      </c>
      <c r="D13" s="605"/>
      <c r="E13" s="605"/>
      <c r="F13" s="605">
        <f>F16</f>
        <v>458980.44</v>
      </c>
      <c r="G13" s="605">
        <f>G16</f>
        <v>0</v>
      </c>
      <c r="H13" s="605">
        <f>H16</f>
        <v>0</v>
      </c>
      <c r="I13" s="605">
        <f>I16</f>
        <v>0</v>
      </c>
      <c r="J13" s="605">
        <f>J16</f>
        <v>458980.44</v>
      </c>
      <c r="K13" s="605">
        <f>K16</f>
        <v>458980.44</v>
      </c>
      <c r="L13" s="605">
        <f>L16</f>
        <v>0</v>
      </c>
      <c r="M13" s="587">
        <f>F13+C13</f>
        <v>458980.44</v>
      </c>
      <c r="N13" s="672"/>
    </row>
    <row r="14" spans="1:14" s="650" customFormat="1" ht="78.75" customHeight="1">
      <c r="A14" s="596">
        <v>180409</v>
      </c>
      <c r="B14" s="618" t="s">
        <v>17</v>
      </c>
      <c r="C14" s="605">
        <f>C15</f>
        <v>0</v>
      </c>
      <c r="D14" s="605">
        <f>D15</f>
        <v>0</v>
      </c>
      <c r="E14" s="605">
        <f>E15</f>
        <v>0</v>
      </c>
      <c r="F14" s="605">
        <f>F15</f>
        <v>458980.44</v>
      </c>
      <c r="G14" s="605">
        <f>G15</f>
        <v>0</v>
      </c>
      <c r="H14" s="605">
        <f>H15</f>
        <v>0</v>
      </c>
      <c r="I14" s="605">
        <f>I15</f>
        <v>0</v>
      </c>
      <c r="J14" s="605">
        <f>J15</f>
        <v>458980.44</v>
      </c>
      <c r="K14" s="605">
        <f>K15</f>
        <v>458980.44</v>
      </c>
      <c r="L14" s="605">
        <f>L15</f>
        <v>0</v>
      </c>
      <c r="M14" s="587">
        <f>F14+C14</f>
        <v>458980.44</v>
      </c>
      <c r="N14" s="672"/>
    </row>
    <row r="15" spans="1:14" s="650" customFormat="1" ht="63">
      <c r="A15" s="596" t="s">
        <v>821</v>
      </c>
      <c r="B15" s="618" t="s">
        <v>902</v>
      </c>
      <c r="C15" s="605">
        <f>C16</f>
        <v>0</v>
      </c>
      <c r="D15" s="605">
        <f>D16</f>
        <v>0</v>
      </c>
      <c r="E15" s="605">
        <f>E16</f>
        <v>0</v>
      </c>
      <c r="F15" s="605">
        <f>F16</f>
        <v>458980.44</v>
      </c>
      <c r="G15" s="605">
        <f>G16</f>
        <v>0</v>
      </c>
      <c r="H15" s="605">
        <f>H16</f>
        <v>0</v>
      </c>
      <c r="I15" s="605">
        <f>I16</f>
        <v>0</v>
      </c>
      <c r="J15" s="606">
        <f>J16</f>
        <v>458980.44</v>
      </c>
      <c r="K15" s="606">
        <f>K16</f>
        <v>458980.44</v>
      </c>
      <c r="L15" s="605">
        <f>L16</f>
        <v>0</v>
      </c>
      <c r="M15" s="587">
        <f>F15+C15</f>
        <v>458980.44</v>
      </c>
      <c r="N15" s="672"/>
    </row>
    <row r="16" spans="1:14" s="650" customFormat="1" ht="47.25">
      <c r="A16" s="596"/>
      <c r="B16" s="618" t="s">
        <v>18</v>
      </c>
      <c r="C16" s="605"/>
      <c r="D16" s="607"/>
      <c r="E16" s="607"/>
      <c r="F16" s="587">
        <f>G16+J16</f>
        <v>458980.44</v>
      </c>
      <c r="G16" s="607"/>
      <c r="H16" s="607"/>
      <c r="I16" s="607"/>
      <c r="J16" s="607">
        <v>458980.44</v>
      </c>
      <c r="K16" s="607">
        <v>458980.44</v>
      </c>
      <c r="L16" s="607"/>
      <c r="M16" s="587">
        <f>F16+C16</f>
        <v>458980.44</v>
      </c>
      <c r="N16" s="672"/>
    </row>
    <row r="17" spans="1:14" s="650" customFormat="1" ht="31.5">
      <c r="A17" s="594" t="s">
        <v>57</v>
      </c>
      <c r="B17" s="611" t="s">
        <v>58</v>
      </c>
      <c r="C17" s="592">
        <f>C18</f>
        <v>10270</v>
      </c>
      <c r="D17" s="592">
        <f>D18</f>
        <v>0</v>
      </c>
      <c r="E17" s="592">
        <f>E18</f>
        <v>0</v>
      </c>
      <c r="F17" s="592">
        <f>F18</f>
        <v>2875</v>
      </c>
      <c r="G17" s="592">
        <f>G18</f>
        <v>0</v>
      </c>
      <c r="H17" s="592">
        <f>H18</f>
        <v>0</v>
      </c>
      <c r="I17" s="592">
        <f>I18</f>
        <v>0</v>
      </c>
      <c r="J17" s="592">
        <f>J18</f>
        <v>2875</v>
      </c>
      <c r="K17" s="592">
        <f>K18</f>
        <v>2875</v>
      </c>
      <c r="L17" s="592">
        <f>L18</f>
        <v>0</v>
      </c>
      <c r="M17" s="592">
        <f>C17+F17</f>
        <v>13145</v>
      </c>
      <c r="N17" s="672"/>
    </row>
    <row r="18" spans="1:14" s="650" customFormat="1" ht="31.5">
      <c r="A18" s="596" t="s">
        <v>901</v>
      </c>
      <c r="B18" s="624" t="s">
        <v>900</v>
      </c>
      <c r="C18" s="588">
        <f>C19</f>
        <v>10270</v>
      </c>
      <c r="D18" s="589"/>
      <c r="E18" s="589"/>
      <c r="F18" s="587">
        <f>G18+J18</f>
        <v>2875</v>
      </c>
      <c r="G18" s="589">
        <f>G19</f>
        <v>0</v>
      </c>
      <c r="H18" s="589">
        <f>H19</f>
        <v>0</v>
      </c>
      <c r="I18" s="589">
        <f>I19</f>
        <v>0</v>
      </c>
      <c r="J18" s="589">
        <f>J19</f>
        <v>2875</v>
      </c>
      <c r="K18" s="589">
        <f>K19</f>
        <v>2875</v>
      </c>
      <c r="L18" s="589">
        <f>L19</f>
        <v>0</v>
      </c>
      <c r="M18" s="587">
        <f>SUM(F18,C18)</f>
        <v>13145</v>
      </c>
      <c r="N18" s="672"/>
    </row>
    <row r="19" spans="1:14" s="650" customFormat="1" ht="16.5">
      <c r="A19" s="596" t="s">
        <v>485</v>
      </c>
      <c r="B19" s="624" t="s">
        <v>899</v>
      </c>
      <c r="C19" s="605">
        <f>C20</f>
        <v>10270</v>
      </c>
      <c r="D19" s="607"/>
      <c r="E19" s="607"/>
      <c r="F19" s="587">
        <f>G19+J19</f>
        <v>2875</v>
      </c>
      <c r="G19" s="607">
        <f>G20</f>
        <v>0</v>
      </c>
      <c r="H19" s="607">
        <f>H20</f>
        <v>0</v>
      </c>
      <c r="I19" s="607">
        <f>I20</f>
        <v>0</v>
      </c>
      <c r="J19" s="607">
        <f>J20</f>
        <v>2875</v>
      </c>
      <c r="K19" s="607">
        <f>K20</f>
        <v>2875</v>
      </c>
      <c r="L19" s="607">
        <f>L20</f>
        <v>0</v>
      </c>
      <c r="M19" s="587">
        <f>SUM(F19,C19)</f>
        <v>13145</v>
      </c>
      <c r="N19" s="672"/>
    </row>
    <row r="20" spans="1:14" s="650" customFormat="1" ht="95.25" customHeight="1">
      <c r="A20" s="596" t="s">
        <v>821</v>
      </c>
      <c r="B20" s="624" t="s">
        <v>84</v>
      </c>
      <c r="C20" s="605">
        <v>10270</v>
      </c>
      <c r="D20" s="607"/>
      <c r="E20" s="607"/>
      <c r="F20" s="587">
        <f>G20+J20</f>
        <v>2875</v>
      </c>
      <c r="G20" s="607"/>
      <c r="H20" s="607"/>
      <c r="I20" s="607"/>
      <c r="J20" s="607">
        <v>2875</v>
      </c>
      <c r="K20" s="607">
        <v>2875</v>
      </c>
      <c r="L20" s="607"/>
      <c r="M20" s="587">
        <f>SUM(F20,C20)</f>
        <v>13145</v>
      </c>
      <c r="N20" s="672"/>
    </row>
    <row r="21" spans="1:14" s="649" customFormat="1" ht="63">
      <c r="A21" s="594" t="s">
        <v>44</v>
      </c>
      <c r="B21" s="611" t="s">
        <v>790</v>
      </c>
      <c r="C21" s="592">
        <f>C26+C22</f>
        <v>396740.58999999997</v>
      </c>
      <c r="D21" s="592">
        <f>D26</f>
        <v>0</v>
      </c>
      <c r="E21" s="592">
        <f>E26</f>
        <v>0</v>
      </c>
      <c r="F21" s="592">
        <f>F26</f>
        <v>0</v>
      </c>
      <c r="G21" s="592">
        <f>G26</f>
        <v>0</v>
      </c>
      <c r="H21" s="592">
        <f>H26</f>
        <v>0</v>
      </c>
      <c r="I21" s="592">
        <f>I26</f>
        <v>0</v>
      </c>
      <c r="J21" s="592">
        <f>J26</f>
        <v>0</v>
      </c>
      <c r="K21" s="592">
        <f>K26</f>
        <v>0</v>
      </c>
      <c r="L21" s="592">
        <f>L26</f>
        <v>0</v>
      </c>
      <c r="M21" s="592">
        <f>C21+F21</f>
        <v>396740.58999999997</v>
      </c>
      <c r="N21" s="672"/>
    </row>
    <row r="22" spans="1:14" s="649" customFormat="1" ht="16.5">
      <c r="A22" s="684" t="s">
        <v>898</v>
      </c>
      <c r="B22" s="690" t="s">
        <v>897</v>
      </c>
      <c r="C22" s="588">
        <f>C23</f>
        <v>300000</v>
      </c>
      <c r="D22" s="588"/>
      <c r="E22" s="588"/>
      <c r="F22" s="588"/>
      <c r="G22" s="588"/>
      <c r="H22" s="588"/>
      <c r="I22" s="588"/>
      <c r="J22" s="588"/>
      <c r="K22" s="588"/>
      <c r="L22" s="588"/>
      <c r="M22" s="587">
        <f>SUM(F22,C22)</f>
        <v>300000</v>
      </c>
      <c r="N22" s="672"/>
    </row>
    <row r="23" spans="1:14" s="649" customFormat="1" ht="16.5">
      <c r="A23" s="619" t="s">
        <v>45</v>
      </c>
      <c r="B23" s="710" t="s">
        <v>46</v>
      </c>
      <c r="C23" s="588">
        <f>C24</f>
        <v>300000</v>
      </c>
      <c r="D23" s="588"/>
      <c r="E23" s="588"/>
      <c r="F23" s="588"/>
      <c r="G23" s="588"/>
      <c r="H23" s="588"/>
      <c r="I23" s="588"/>
      <c r="J23" s="588"/>
      <c r="K23" s="588"/>
      <c r="L23" s="588"/>
      <c r="M23" s="587">
        <f>SUM(F23,C23)</f>
        <v>300000</v>
      </c>
      <c r="N23" s="672"/>
    </row>
    <row r="24" spans="1:14" s="649" customFormat="1" ht="97.5" customHeight="1">
      <c r="A24" s="619" t="s">
        <v>821</v>
      </c>
      <c r="B24" s="710" t="s">
        <v>47</v>
      </c>
      <c r="C24" s="588">
        <v>300000</v>
      </c>
      <c r="D24" s="588"/>
      <c r="E24" s="588"/>
      <c r="F24" s="588"/>
      <c r="G24" s="588"/>
      <c r="H24" s="588"/>
      <c r="I24" s="588"/>
      <c r="J24" s="588"/>
      <c r="K24" s="588"/>
      <c r="L24" s="588"/>
      <c r="M24" s="587">
        <f>SUM(F24,C24)</f>
        <v>300000</v>
      </c>
      <c r="N24" s="672"/>
    </row>
    <row r="25" spans="1:14" s="649" customFormat="1" ht="31.5">
      <c r="A25" s="684" t="s">
        <v>820</v>
      </c>
      <c r="B25" s="690" t="s">
        <v>819</v>
      </c>
      <c r="C25" s="588">
        <f>C26</f>
        <v>96740.59</v>
      </c>
      <c r="D25" s="589"/>
      <c r="E25" s="589"/>
      <c r="F25" s="588"/>
      <c r="G25" s="589"/>
      <c r="H25" s="589"/>
      <c r="I25" s="589"/>
      <c r="J25" s="589"/>
      <c r="K25" s="589"/>
      <c r="L25" s="589"/>
      <c r="M25" s="587">
        <f>SUM(F25,C25)</f>
        <v>96740.59</v>
      </c>
      <c r="N25" s="672"/>
    </row>
    <row r="26" spans="1:14" ht="64.5" customHeight="1">
      <c r="A26" s="591" t="s">
        <v>60</v>
      </c>
      <c r="B26" s="648" t="s">
        <v>784</v>
      </c>
      <c r="C26" s="647">
        <v>96740.59</v>
      </c>
      <c r="D26" s="606"/>
      <c r="E26" s="606"/>
      <c r="F26" s="621"/>
      <c r="G26" s="589"/>
      <c r="H26" s="606"/>
      <c r="I26" s="606"/>
      <c r="J26" s="606"/>
      <c r="K26" s="606"/>
      <c r="L26" s="606"/>
      <c r="M26" s="587">
        <f>SUM(F26,C26)</f>
        <v>96740.59</v>
      </c>
      <c r="N26" s="672"/>
    </row>
    <row r="27" spans="1:14" ht="64.5" customHeight="1">
      <c r="A27" s="594" t="s">
        <v>42</v>
      </c>
      <c r="B27" s="593" t="s">
        <v>59</v>
      </c>
      <c r="C27" s="592">
        <f>C29</f>
        <v>9345.24</v>
      </c>
      <c r="D27" s="592"/>
      <c r="E27" s="592"/>
      <c r="F27" s="592"/>
      <c r="G27" s="592"/>
      <c r="H27" s="592"/>
      <c r="I27" s="592"/>
      <c r="J27" s="592"/>
      <c r="K27" s="592"/>
      <c r="L27" s="592"/>
      <c r="M27" s="592">
        <f>C27+F27</f>
        <v>9345.24</v>
      </c>
      <c r="N27" s="672"/>
    </row>
    <row r="28" spans="1:14" ht="31.5">
      <c r="A28" s="684" t="s">
        <v>825</v>
      </c>
      <c r="B28" s="688" t="s">
        <v>824</v>
      </c>
      <c r="C28" s="588">
        <f>C29</f>
        <v>9345.24</v>
      </c>
      <c r="D28" s="588">
        <f>D29</f>
        <v>0</v>
      </c>
      <c r="E28" s="588">
        <f>E29</f>
        <v>0</v>
      </c>
      <c r="F28" s="588">
        <f>F29</f>
        <v>0</v>
      </c>
      <c r="G28" s="588">
        <f>G29</f>
        <v>0</v>
      </c>
      <c r="H28" s="588">
        <f>H29</f>
        <v>0</v>
      </c>
      <c r="I28" s="588">
        <f>I29</f>
        <v>0</v>
      </c>
      <c r="J28" s="588">
        <f>J29</f>
        <v>0</v>
      </c>
      <c r="K28" s="588">
        <f>K29</f>
        <v>0</v>
      </c>
      <c r="L28" s="588">
        <f>L29</f>
        <v>0</v>
      </c>
      <c r="M28" s="621">
        <f>SUM(F28,C28)</f>
        <v>9345.24</v>
      </c>
      <c r="N28" s="672"/>
    </row>
    <row r="29" spans="1:15" ht="35.25" customHeight="1">
      <c r="A29" s="591" t="s">
        <v>780</v>
      </c>
      <c r="B29" s="614" t="s">
        <v>896</v>
      </c>
      <c r="C29" s="647">
        <f>C30</f>
        <v>9345.24</v>
      </c>
      <c r="D29" s="606"/>
      <c r="E29" s="606"/>
      <c r="F29" s="621"/>
      <c r="G29" s="589"/>
      <c r="H29" s="606"/>
      <c r="I29" s="606"/>
      <c r="J29" s="606"/>
      <c r="K29" s="606"/>
      <c r="L29" s="606"/>
      <c r="M29" s="621">
        <f>SUM(F29,C29)</f>
        <v>9345.24</v>
      </c>
      <c r="N29" s="672"/>
      <c r="O29" s="709"/>
    </row>
    <row r="30" spans="1:14" ht="63" customHeight="1">
      <c r="A30" s="591" t="s">
        <v>821</v>
      </c>
      <c r="B30" s="614" t="s">
        <v>43</v>
      </c>
      <c r="C30" s="647">
        <v>9345.24</v>
      </c>
      <c r="D30" s="606"/>
      <c r="E30" s="606"/>
      <c r="F30" s="621"/>
      <c r="G30" s="589"/>
      <c r="H30" s="606"/>
      <c r="I30" s="606"/>
      <c r="J30" s="606"/>
      <c r="K30" s="606"/>
      <c r="L30" s="606"/>
      <c r="M30" s="621">
        <f>SUM(F30,C30)</f>
        <v>9345.24</v>
      </c>
      <c r="N30" s="672"/>
    </row>
    <row r="31" spans="1:14" s="582" customFormat="1" ht="31.5">
      <c r="A31" s="594" t="s">
        <v>12</v>
      </c>
      <c r="B31" s="593" t="s">
        <v>13</v>
      </c>
      <c r="C31" s="592">
        <f>C32+C57</f>
        <v>4915601.42</v>
      </c>
      <c r="D31" s="592">
        <f>D32+D57</f>
        <v>0</v>
      </c>
      <c r="E31" s="592">
        <f>E32+E57</f>
        <v>0</v>
      </c>
      <c r="F31" s="592">
        <f>F32+F57</f>
        <v>4677250.13</v>
      </c>
      <c r="G31" s="592">
        <f>G32+G57</f>
        <v>0</v>
      </c>
      <c r="H31" s="592">
        <f>H32+H57</f>
        <v>0</v>
      </c>
      <c r="I31" s="592">
        <f>I32+I57</f>
        <v>0</v>
      </c>
      <c r="J31" s="592">
        <f>J32+J57</f>
        <v>4677250.13</v>
      </c>
      <c r="K31" s="592">
        <f>K32+K57</f>
        <v>4677250.13</v>
      </c>
      <c r="L31" s="592">
        <f>L32+L57</f>
        <v>0</v>
      </c>
      <c r="M31" s="592">
        <f>SUM(F31,C31)</f>
        <v>9592851.55</v>
      </c>
      <c r="N31" s="672"/>
    </row>
    <row r="32" spans="1:14" s="582" customFormat="1" ht="16.5">
      <c r="A32" s="684" t="s">
        <v>879</v>
      </c>
      <c r="B32" s="708" t="s">
        <v>878</v>
      </c>
      <c r="C32" s="588">
        <f>C33+C34+C46+C35+C36+C37+C38+C39+C40+C44+C45+C47</f>
        <v>4419538.34</v>
      </c>
      <c r="D32" s="588">
        <f>D33+D34+D46+D35+D36+D37+D38+D39+D40+D44+D45+D47</f>
        <v>0</v>
      </c>
      <c r="E32" s="588">
        <f>E33+E34+E46+E35+E36+E37+E38+E39+E40+E44+E45+E47</f>
        <v>0</v>
      </c>
      <c r="F32" s="588">
        <f>F33+F34+F46+F35+F36+F37+F38+F39+F40+F44+F45+F47</f>
        <v>4670850.13</v>
      </c>
      <c r="G32" s="588">
        <f>G33+G34+G46+G35+G36+G37+G38+G39+G40+G44+G45+G47</f>
        <v>0</v>
      </c>
      <c r="H32" s="588">
        <f>H33+H34+H46+H35+H36+H37+H38+H39+H40+H44+H45+H47</f>
        <v>0</v>
      </c>
      <c r="I32" s="588">
        <f>I33+I34+I46+I35+I36+I37+I38+I39+I40+I44+I45+I47</f>
        <v>0</v>
      </c>
      <c r="J32" s="588">
        <f>J33+J34+J46+J35+J36+J37+J38+J39+J40+J44+J45+J47</f>
        <v>4670850.13</v>
      </c>
      <c r="K32" s="588">
        <f>K33+K34+K46+K35+K36+K37+K38+K39+K40+K44+K45+K47</f>
        <v>4670850.13</v>
      </c>
      <c r="L32" s="588">
        <f>L33+L34+L46+L35+L36+L37+L38+L39+L40+L44+L45+L47</f>
        <v>0</v>
      </c>
      <c r="M32" s="621">
        <f>SUM(F32,C32)</f>
        <v>9090388.469999999</v>
      </c>
      <c r="N32" s="672"/>
    </row>
    <row r="33" spans="1:14" ht="47.25">
      <c r="A33" s="591" t="s">
        <v>483</v>
      </c>
      <c r="B33" s="644" t="s">
        <v>482</v>
      </c>
      <c r="C33" s="628">
        <v>559416.36</v>
      </c>
      <c r="D33" s="628"/>
      <c r="E33" s="628"/>
      <c r="F33" s="621">
        <f>G33+J33</f>
        <v>213904.66</v>
      </c>
      <c r="G33" s="628"/>
      <c r="H33" s="628"/>
      <c r="I33" s="628"/>
      <c r="J33" s="628">
        <v>213904.66</v>
      </c>
      <c r="K33" s="628">
        <v>213904.66</v>
      </c>
      <c r="L33" s="628"/>
      <c r="M33" s="621">
        <f>SUM(F33,C33)</f>
        <v>773321.02</v>
      </c>
      <c r="N33" s="672"/>
    </row>
    <row r="34" spans="1:14" ht="68.25" customHeight="1">
      <c r="A34" s="591" t="s">
        <v>774</v>
      </c>
      <c r="B34" s="644" t="s">
        <v>895</v>
      </c>
      <c r="C34" s="628">
        <v>207157.36</v>
      </c>
      <c r="D34" s="628"/>
      <c r="E34" s="628"/>
      <c r="F34" s="621">
        <f>G34+J34</f>
        <v>0</v>
      </c>
      <c r="G34" s="628"/>
      <c r="H34" s="628"/>
      <c r="I34" s="628"/>
      <c r="J34" s="628"/>
      <c r="K34" s="628"/>
      <c r="L34" s="628"/>
      <c r="M34" s="621">
        <f>SUM(F34,C34)</f>
        <v>207157.36</v>
      </c>
      <c r="N34" s="672"/>
    </row>
    <row r="35" spans="1:14" ht="79.5" customHeight="1">
      <c r="A35" s="591" t="s">
        <v>481</v>
      </c>
      <c r="B35" s="644" t="s">
        <v>480</v>
      </c>
      <c r="C35" s="621">
        <v>1413075.32</v>
      </c>
      <c r="D35" s="628"/>
      <c r="E35" s="628"/>
      <c r="F35" s="621">
        <f>G35+J35</f>
        <v>512660.26</v>
      </c>
      <c r="G35" s="628"/>
      <c r="H35" s="628"/>
      <c r="I35" s="628"/>
      <c r="J35" s="628">
        <v>512660.26</v>
      </c>
      <c r="K35" s="628">
        <v>512660.26</v>
      </c>
      <c r="L35" s="628"/>
      <c r="M35" s="621">
        <f>SUM(F35,C35)</f>
        <v>1925735.58</v>
      </c>
      <c r="N35" s="672"/>
    </row>
    <row r="36" spans="1:14" ht="126" customHeight="1">
      <c r="A36" s="591" t="s">
        <v>479</v>
      </c>
      <c r="B36" s="644" t="s">
        <v>478</v>
      </c>
      <c r="C36" s="621">
        <v>599292.84</v>
      </c>
      <c r="D36" s="628"/>
      <c r="E36" s="628"/>
      <c r="F36" s="621">
        <f>G36+J36</f>
        <v>28280</v>
      </c>
      <c r="G36" s="628"/>
      <c r="H36" s="628"/>
      <c r="I36" s="628"/>
      <c r="J36" s="628">
        <v>28280</v>
      </c>
      <c r="K36" s="628">
        <v>28280</v>
      </c>
      <c r="L36" s="628"/>
      <c r="M36" s="621">
        <f>SUM(F36,C36)</f>
        <v>627572.84</v>
      </c>
      <c r="N36" s="672"/>
    </row>
    <row r="37" spans="1:14" ht="47.25">
      <c r="A37" s="591" t="s">
        <v>477</v>
      </c>
      <c r="B37" s="644" t="s">
        <v>476</v>
      </c>
      <c r="C37" s="621">
        <v>369234.4</v>
      </c>
      <c r="D37" s="628"/>
      <c r="E37" s="628"/>
      <c r="F37" s="621">
        <f>G37+J37</f>
        <v>39036.5</v>
      </c>
      <c r="G37" s="628"/>
      <c r="H37" s="628"/>
      <c r="I37" s="628"/>
      <c r="J37" s="628">
        <v>39036.5</v>
      </c>
      <c r="K37" s="628">
        <v>39036.5</v>
      </c>
      <c r="L37" s="628"/>
      <c r="M37" s="621">
        <f>SUM(F37,C37)</f>
        <v>408270.9</v>
      </c>
      <c r="N37" s="672"/>
    </row>
    <row r="38" spans="1:14" ht="31.5">
      <c r="A38" s="591" t="s">
        <v>475</v>
      </c>
      <c r="B38" s="644" t="s">
        <v>474</v>
      </c>
      <c r="C38" s="621">
        <v>873071.25</v>
      </c>
      <c r="D38" s="628"/>
      <c r="E38" s="628"/>
      <c r="F38" s="621">
        <f>G38+J38</f>
        <v>3584046.55</v>
      </c>
      <c r="G38" s="628"/>
      <c r="H38" s="628"/>
      <c r="I38" s="628"/>
      <c r="J38" s="628">
        <v>3584046.55</v>
      </c>
      <c r="K38" s="628">
        <v>3584046.55</v>
      </c>
      <c r="L38" s="628"/>
      <c r="M38" s="621">
        <f>SUM(F38,C38)</f>
        <v>4457117.8</v>
      </c>
      <c r="N38" s="672"/>
    </row>
    <row r="39" spans="1:14" ht="31.5">
      <c r="A39" s="591" t="s">
        <v>473</v>
      </c>
      <c r="B39" s="644" t="s">
        <v>472</v>
      </c>
      <c r="C39" s="621">
        <v>227898.49</v>
      </c>
      <c r="D39" s="628"/>
      <c r="E39" s="628"/>
      <c r="F39" s="621">
        <f>G39+J39</f>
        <v>23012</v>
      </c>
      <c r="G39" s="628"/>
      <c r="H39" s="628"/>
      <c r="I39" s="628"/>
      <c r="J39" s="628">
        <v>23012</v>
      </c>
      <c r="K39" s="628">
        <v>23012</v>
      </c>
      <c r="L39" s="628"/>
      <c r="M39" s="621">
        <f>SUM(F39,C39)</f>
        <v>250910.49</v>
      </c>
      <c r="N39" s="672"/>
    </row>
    <row r="40" spans="1:14" ht="31.5">
      <c r="A40" s="591" t="s">
        <v>762</v>
      </c>
      <c r="B40" s="644" t="s">
        <v>894</v>
      </c>
      <c r="C40" s="621">
        <f>C41+C42+C43</f>
        <v>58888.69</v>
      </c>
      <c r="D40" s="622"/>
      <c r="E40" s="621"/>
      <c r="F40" s="621">
        <f>G40+J40</f>
        <v>0</v>
      </c>
      <c r="G40" s="621"/>
      <c r="H40" s="621"/>
      <c r="I40" s="621"/>
      <c r="J40" s="628"/>
      <c r="K40" s="628"/>
      <c r="L40" s="621"/>
      <c r="M40" s="621">
        <f>SUM(F40,C40)</f>
        <v>58888.69</v>
      </c>
      <c r="N40" s="672"/>
    </row>
    <row r="41" spans="1:14" ht="78.75">
      <c r="A41" s="591"/>
      <c r="B41" s="644" t="s">
        <v>893</v>
      </c>
      <c r="C41" s="621">
        <v>15681.2</v>
      </c>
      <c r="D41" s="622"/>
      <c r="E41" s="621"/>
      <c r="F41" s="621"/>
      <c r="G41" s="621"/>
      <c r="H41" s="621"/>
      <c r="I41" s="621"/>
      <c r="J41" s="628"/>
      <c r="K41" s="628"/>
      <c r="L41" s="621"/>
      <c r="M41" s="621">
        <f>SUM(F41,C41)</f>
        <v>15681.2</v>
      </c>
      <c r="N41" s="672"/>
    </row>
    <row r="42" spans="1:14" ht="47.25">
      <c r="A42" s="591"/>
      <c r="B42" s="644" t="s">
        <v>892</v>
      </c>
      <c r="C42" s="621">
        <v>3000</v>
      </c>
      <c r="D42" s="622"/>
      <c r="E42" s="621"/>
      <c r="F42" s="621"/>
      <c r="G42" s="621"/>
      <c r="H42" s="621"/>
      <c r="I42" s="621"/>
      <c r="J42" s="628"/>
      <c r="K42" s="628"/>
      <c r="L42" s="621"/>
      <c r="M42" s="621">
        <f>SUM(F42,C42)</f>
        <v>3000</v>
      </c>
      <c r="N42" s="672"/>
    </row>
    <row r="43" spans="1:14" ht="31.5" customHeight="1">
      <c r="A43" s="591"/>
      <c r="B43" s="644" t="s">
        <v>891</v>
      </c>
      <c r="C43" s="621">
        <v>40207.49</v>
      </c>
      <c r="D43" s="628"/>
      <c r="E43" s="628"/>
      <c r="F43" s="621">
        <f>G43+J43</f>
        <v>0</v>
      </c>
      <c r="G43" s="628"/>
      <c r="H43" s="628"/>
      <c r="I43" s="628"/>
      <c r="J43" s="628"/>
      <c r="K43" s="628"/>
      <c r="L43" s="628"/>
      <c r="M43" s="621">
        <f>SUM(F43,C43)</f>
        <v>40207.49</v>
      </c>
      <c r="N43" s="672"/>
    </row>
    <row r="44" spans="1:14" ht="46.5" customHeight="1">
      <c r="A44" s="591" t="s">
        <v>471</v>
      </c>
      <c r="B44" s="644" t="s">
        <v>470</v>
      </c>
      <c r="C44" s="621">
        <v>11851.25</v>
      </c>
      <c r="D44" s="628"/>
      <c r="E44" s="628"/>
      <c r="F44" s="621">
        <f>G44+J44</f>
        <v>7691.59</v>
      </c>
      <c r="G44" s="628"/>
      <c r="H44" s="628"/>
      <c r="I44" s="628"/>
      <c r="J44" s="628">
        <v>7691.59</v>
      </c>
      <c r="K44" s="628">
        <v>7691.59</v>
      </c>
      <c r="L44" s="628"/>
      <c r="M44" s="621">
        <f>SUM(F44,C44)</f>
        <v>19542.84</v>
      </c>
      <c r="N44" s="672"/>
    </row>
    <row r="45" spans="1:14" ht="31.5">
      <c r="A45" s="591" t="s">
        <v>469</v>
      </c>
      <c r="B45" s="644" t="s">
        <v>468</v>
      </c>
      <c r="C45" s="621">
        <v>36128.34</v>
      </c>
      <c r="D45" s="628"/>
      <c r="E45" s="628"/>
      <c r="F45" s="621">
        <f>G45+J45</f>
        <v>24668.57</v>
      </c>
      <c r="G45" s="628"/>
      <c r="H45" s="628"/>
      <c r="I45" s="628"/>
      <c r="J45" s="628">
        <v>24668.57</v>
      </c>
      <c r="K45" s="628">
        <v>24668.57</v>
      </c>
      <c r="L45" s="628"/>
      <c r="M45" s="621">
        <f>SUM(F45,C45)</f>
        <v>60796.909999999996</v>
      </c>
      <c r="N45" s="672"/>
    </row>
    <row r="46" spans="1:14" ht="16.5">
      <c r="A46" s="707" t="s">
        <v>467</v>
      </c>
      <c r="B46" s="706" t="s">
        <v>466</v>
      </c>
      <c r="C46" s="621">
        <v>14000.4</v>
      </c>
      <c r="D46" s="628"/>
      <c r="E46" s="628"/>
      <c r="F46" s="621">
        <f>G46+J46</f>
        <v>12000</v>
      </c>
      <c r="G46" s="628"/>
      <c r="H46" s="628"/>
      <c r="I46" s="628"/>
      <c r="J46" s="628">
        <v>12000</v>
      </c>
      <c r="K46" s="628">
        <v>12000</v>
      </c>
      <c r="L46" s="628"/>
      <c r="M46" s="621">
        <f>SUM(F46,C46)</f>
        <v>26000.4</v>
      </c>
      <c r="N46" s="672"/>
    </row>
    <row r="47" spans="1:14" ht="16.5">
      <c r="A47" s="591" t="s">
        <v>14</v>
      </c>
      <c r="B47" s="644" t="s">
        <v>890</v>
      </c>
      <c r="C47" s="623">
        <f>C48+C49+C50+C51+C52+C53+C54+C55+C56</f>
        <v>49523.64</v>
      </c>
      <c r="D47" s="623">
        <f>D48+D49+D50+D51+D52+D53+D54+D55+D56</f>
        <v>0</v>
      </c>
      <c r="E47" s="623">
        <f>E48+E49+E50+E51+E52+E53+E54+E55+E56</f>
        <v>0</v>
      </c>
      <c r="F47" s="623">
        <f>F48+F49+F50+F51+F52+F53+F54+F55+F56</f>
        <v>225550</v>
      </c>
      <c r="G47" s="623">
        <f>G48+G49+G50+G51+G52+G53+G54+G55+G56</f>
        <v>0</v>
      </c>
      <c r="H47" s="623">
        <f>H48+H49+H50+H51+H52+H53+H54+H55+H56</f>
        <v>0</v>
      </c>
      <c r="I47" s="623">
        <f>I48+I49+I50+I51+I52+I53+I54+I55+I56</f>
        <v>0</v>
      </c>
      <c r="J47" s="623">
        <f>J48+J49+J50+J51+J52+J53+J54+J55+J56</f>
        <v>225550</v>
      </c>
      <c r="K47" s="623">
        <f>K48+K49+K50+K51+K52+K53+K54+K55+K56</f>
        <v>225550</v>
      </c>
      <c r="L47" s="623">
        <f>L48+L49+L50+L51+L52+L53+L54+L55+L56</f>
        <v>0</v>
      </c>
      <c r="M47" s="621">
        <f>SUM(F47,C47)</f>
        <v>275073.64</v>
      </c>
      <c r="N47" s="672"/>
    </row>
    <row r="48" spans="1:14" ht="47.25">
      <c r="A48" s="591"/>
      <c r="B48" s="644" t="s">
        <v>90</v>
      </c>
      <c r="C48" s="623">
        <v>6886</v>
      </c>
      <c r="D48" s="623"/>
      <c r="E48" s="623"/>
      <c r="F48" s="621">
        <f>G48+J48</f>
        <v>0</v>
      </c>
      <c r="G48" s="623"/>
      <c r="H48" s="623"/>
      <c r="I48" s="623"/>
      <c r="J48" s="622"/>
      <c r="K48" s="622"/>
      <c r="L48" s="623"/>
      <c r="M48" s="621">
        <f>SUM(F48,C48)</f>
        <v>6886</v>
      </c>
      <c r="N48" s="672"/>
    </row>
    <row r="49" spans="1:14" ht="47.25">
      <c r="A49" s="591"/>
      <c r="B49" s="590" t="s">
        <v>87</v>
      </c>
      <c r="C49" s="623"/>
      <c r="D49" s="623"/>
      <c r="E49" s="623"/>
      <c r="F49" s="621">
        <f>G49+J49</f>
        <v>16290</v>
      </c>
      <c r="G49" s="623"/>
      <c r="H49" s="623"/>
      <c r="I49" s="623"/>
      <c r="J49" s="622">
        <v>16290</v>
      </c>
      <c r="K49" s="622">
        <v>16290</v>
      </c>
      <c r="L49" s="623"/>
      <c r="M49" s="621">
        <f>SUM(F49,C49)</f>
        <v>16290</v>
      </c>
      <c r="N49" s="672"/>
    </row>
    <row r="50" spans="1:14" ht="63">
      <c r="A50" s="591"/>
      <c r="B50" s="590" t="s">
        <v>118</v>
      </c>
      <c r="C50" s="623">
        <v>4492.54</v>
      </c>
      <c r="D50" s="623"/>
      <c r="E50" s="623"/>
      <c r="F50" s="621">
        <f>G50+J50</f>
        <v>0</v>
      </c>
      <c r="G50" s="623"/>
      <c r="H50" s="623"/>
      <c r="I50" s="623"/>
      <c r="J50" s="622"/>
      <c r="K50" s="622"/>
      <c r="L50" s="623"/>
      <c r="M50" s="621">
        <f>SUM(F50,C50)</f>
        <v>4492.54</v>
      </c>
      <c r="N50" s="672"/>
    </row>
    <row r="51" spans="1:14" ht="31.5">
      <c r="A51" s="591"/>
      <c r="B51" s="590" t="s">
        <v>96</v>
      </c>
      <c r="C51" s="623">
        <v>12368.09</v>
      </c>
      <c r="D51" s="623"/>
      <c r="E51" s="623"/>
      <c r="F51" s="621">
        <f>G51+J51</f>
        <v>158860</v>
      </c>
      <c r="G51" s="623"/>
      <c r="H51" s="623"/>
      <c r="I51" s="623"/>
      <c r="J51" s="622">
        <v>158860</v>
      </c>
      <c r="K51" s="622">
        <v>158860</v>
      </c>
      <c r="L51" s="623"/>
      <c r="M51" s="621">
        <f>SUM(F51,C51)</f>
        <v>171228.09</v>
      </c>
      <c r="N51" s="672"/>
    </row>
    <row r="52" spans="1:14" ht="47.25">
      <c r="A52" s="591"/>
      <c r="B52" s="590" t="s">
        <v>86</v>
      </c>
      <c r="C52" s="623">
        <v>5797.01</v>
      </c>
      <c r="D52" s="623"/>
      <c r="E52" s="623"/>
      <c r="F52" s="621">
        <f>G52+J52</f>
        <v>15000</v>
      </c>
      <c r="G52" s="623"/>
      <c r="H52" s="623"/>
      <c r="I52" s="623"/>
      <c r="J52" s="622">
        <v>15000</v>
      </c>
      <c r="K52" s="622">
        <v>15000</v>
      </c>
      <c r="L52" s="623"/>
      <c r="M52" s="621">
        <f>SUM(F52,C52)</f>
        <v>20797.010000000002</v>
      </c>
      <c r="N52" s="672"/>
    </row>
    <row r="53" spans="1:14" ht="47.25">
      <c r="A53" s="591"/>
      <c r="B53" s="590" t="s">
        <v>92</v>
      </c>
      <c r="C53" s="623">
        <v>9980</v>
      </c>
      <c r="D53" s="623"/>
      <c r="E53" s="623"/>
      <c r="F53" s="621">
        <f>G53+J53</f>
        <v>0</v>
      </c>
      <c r="G53" s="623"/>
      <c r="H53" s="623"/>
      <c r="I53" s="623"/>
      <c r="J53" s="622"/>
      <c r="K53" s="622"/>
      <c r="L53" s="623"/>
      <c r="M53" s="621">
        <f>SUM(F53,C53)</f>
        <v>9980</v>
      </c>
      <c r="N53" s="672"/>
    </row>
    <row r="54" spans="1:14" ht="65.25" customHeight="1">
      <c r="A54" s="591"/>
      <c r="B54" s="590" t="s">
        <v>889</v>
      </c>
      <c r="C54" s="623"/>
      <c r="D54" s="623"/>
      <c r="E54" s="623"/>
      <c r="F54" s="621">
        <f>G54+J54</f>
        <v>10400</v>
      </c>
      <c r="G54" s="623"/>
      <c r="H54" s="623"/>
      <c r="I54" s="623"/>
      <c r="J54" s="622">
        <v>10400</v>
      </c>
      <c r="K54" s="622">
        <v>10400</v>
      </c>
      <c r="L54" s="623"/>
      <c r="M54" s="621">
        <f>SUM(F54,C54)</f>
        <v>10400</v>
      </c>
      <c r="N54" s="672"/>
    </row>
    <row r="55" spans="1:14" ht="47.25">
      <c r="A55" s="591"/>
      <c r="B55" s="590" t="s">
        <v>88</v>
      </c>
      <c r="C55" s="705">
        <v>10000</v>
      </c>
      <c r="D55" s="628"/>
      <c r="E55" s="628"/>
      <c r="F55" s="621">
        <f>G55+J55</f>
        <v>0</v>
      </c>
      <c r="G55" s="628"/>
      <c r="H55" s="628"/>
      <c r="I55" s="628"/>
      <c r="J55" s="628"/>
      <c r="K55" s="628"/>
      <c r="L55" s="628"/>
      <c r="M55" s="621">
        <f>SUM(F55,C55)</f>
        <v>10000</v>
      </c>
      <c r="N55" s="672"/>
    </row>
    <row r="56" spans="1:14" ht="31.5">
      <c r="A56" s="591"/>
      <c r="B56" s="590" t="s">
        <v>89</v>
      </c>
      <c r="C56" s="705"/>
      <c r="D56" s="628"/>
      <c r="E56" s="628"/>
      <c r="F56" s="621">
        <f>G56+J56</f>
        <v>25000</v>
      </c>
      <c r="G56" s="628"/>
      <c r="H56" s="628"/>
      <c r="I56" s="628"/>
      <c r="J56" s="628">
        <v>25000</v>
      </c>
      <c r="K56" s="628">
        <v>25000</v>
      </c>
      <c r="L56" s="628"/>
      <c r="M56" s="621">
        <f>SUM(F56,C56)</f>
        <v>25000</v>
      </c>
      <c r="N56" s="672"/>
    </row>
    <row r="57" spans="1:14" ht="16.5">
      <c r="A57" s="684" t="s">
        <v>885</v>
      </c>
      <c r="B57" s="683" t="s">
        <v>884</v>
      </c>
      <c r="C57" s="705">
        <f>C58+C60+C59</f>
        <v>496063.08</v>
      </c>
      <c r="D57" s="705">
        <f>D58+D60</f>
        <v>0</v>
      </c>
      <c r="E57" s="705">
        <f>E58+E60</f>
        <v>0</v>
      </c>
      <c r="F57" s="621">
        <f>G57+J57</f>
        <v>6400</v>
      </c>
      <c r="G57" s="705">
        <f>G58+G60</f>
        <v>0</v>
      </c>
      <c r="H57" s="705">
        <f>H58+H60</f>
        <v>0</v>
      </c>
      <c r="I57" s="705">
        <f>I58+I60</f>
        <v>0</v>
      </c>
      <c r="J57" s="645">
        <f>J58+J60</f>
        <v>6400</v>
      </c>
      <c r="K57" s="645">
        <f>K58+K60</f>
        <v>6400</v>
      </c>
      <c r="L57" s="705">
        <f>L58+L60</f>
        <v>0</v>
      </c>
      <c r="M57" s="621">
        <f>SUM(F57,C57)</f>
        <v>502463.08</v>
      </c>
      <c r="N57" s="672"/>
    </row>
    <row r="58" spans="1:14" ht="31.5">
      <c r="A58" s="591" t="s">
        <v>102</v>
      </c>
      <c r="B58" s="590" t="s">
        <v>103</v>
      </c>
      <c r="C58" s="645">
        <v>219209.08</v>
      </c>
      <c r="D58" s="607"/>
      <c r="E58" s="607"/>
      <c r="F58" s="621">
        <f>G58+J58</f>
        <v>0</v>
      </c>
      <c r="G58" s="587"/>
      <c r="H58" s="587"/>
      <c r="I58" s="587"/>
      <c r="J58" s="628">
        <f>K58</f>
        <v>0</v>
      </c>
      <c r="K58" s="587"/>
      <c r="L58" s="587"/>
      <c r="M58" s="621">
        <f>SUM(F58,C58)</f>
        <v>219209.08</v>
      </c>
      <c r="N58" s="672"/>
    </row>
    <row r="59" spans="1:14" ht="47.25">
      <c r="A59" s="591" t="s">
        <v>881</v>
      </c>
      <c r="B59" s="644" t="s">
        <v>880</v>
      </c>
      <c r="C59" s="645">
        <v>35877.3</v>
      </c>
      <c r="D59" s="607"/>
      <c r="E59" s="607"/>
      <c r="F59" s="621">
        <f>G59+J59</f>
        <v>0</v>
      </c>
      <c r="G59" s="587"/>
      <c r="H59" s="587"/>
      <c r="I59" s="587"/>
      <c r="J59" s="628"/>
      <c r="K59" s="587"/>
      <c r="L59" s="587"/>
      <c r="M59" s="621">
        <f>SUM(F59,C59)</f>
        <v>35877.3</v>
      </c>
      <c r="N59" s="672"/>
    </row>
    <row r="60" spans="1:14" ht="47.25">
      <c r="A60" s="591" t="s">
        <v>465</v>
      </c>
      <c r="B60" s="644" t="s">
        <v>464</v>
      </c>
      <c r="C60" s="623">
        <v>240976.7</v>
      </c>
      <c r="D60" s="628"/>
      <c r="E60" s="628"/>
      <c r="F60" s="621">
        <f>G60+J60</f>
        <v>6400</v>
      </c>
      <c r="G60" s="628"/>
      <c r="H60" s="628"/>
      <c r="I60" s="628"/>
      <c r="J60" s="628">
        <v>6400</v>
      </c>
      <c r="K60" s="628">
        <v>6400</v>
      </c>
      <c r="L60" s="628"/>
      <c r="M60" s="621">
        <f>SUM(F60,C60)</f>
        <v>247376.7</v>
      </c>
      <c r="N60" s="672"/>
    </row>
    <row r="61" spans="1:14" ht="37.5" customHeight="1">
      <c r="A61" s="594" t="s">
        <v>71</v>
      </c>
      <c r="B61" s="620" t="s">
        <v>72</v>
      </c>
      <c r="C61" s="592">
        <f>C62+C67</f>
        <v>2180982.37</v>
      </c>
      <c r="D61" s="592">
        <f>D62+D67</f>
        <v>0</v>
      </c>
      <c r="E61" s="592">
        <f>E62+E67</f>
        <v>0</v>
      </c>
      <c r="F61" s="592">
        <f>F62+F67</f>
        <v>110046.20999999999</v>
      </c>
      <c r="G61" s="592">
        <f>G62+G67</f>
        <v>0</v>
      </c>
      <c r="H61" s="592">
        <f>H62+H67</f>
        <v>0</v>
      </c>
      <c r="I61" s="592">
        <f>I62+I67</f>
        <v>0</v>
      </c>
      <c r="J61" s="592">
        <f>J62+J67</f>
        <v>110046.20999999999</v>
      </c>
      <c r="K61" s="592">
        <f>K62+K67</f>
        <v>110046.20999999999</v>
      </c>
      <c r="L61" s="592">
        <f>L62+L67</f>
        <v>0</v>
      </c>
      <c r="M61" s="592">
        <f>F61+C61</f>
        <v>2291028.58</v>
      </c>
      <c r="N61" s="672"/>
    </row>
    <row r="62" spans="1:14" ht="31.5">
      <c r="A62" s="702" t="s">
        <v>854</v>
      </c>
      <c r="B62" s="701" t="s">
        <v>853</v>
      </c>
      <c r="C62" s="588">
        <f>C63+C64</f>
        <v>342289.52</v>
      </c>
      <c r="D62" s="589"/>
      <c r="E62" s="589"/>
      <c r="F62" s="588"/>
      <c r="G62" s="589"/>
      <c r="H62" s="588"/>
      <c r="I62" s="588"/>
      <c r="J62" s="588"/>
      <c r="K62" s="588"/>
      <c r="L62" s="588"/>
      <c r="M62" s="587">
        <f>SUM(F62,C62)</f>
        <v>342289.52</v>
      </c>
      <c r="N62" s="672"/>
    </row>
    <row r="63" spans="1:14" ht="47.25">
      <c r="A63" s="591" t="s">
        <v>888</v>
      </c>
      <c r="B63" s="590" t="s">
        <v>887</v>
      </c>
      <c r="C63" s="588">
        <v>306764.78</v>
      </c>
      <c r="D63" s="589"/>
      <c r="E63" s="589"/>
      <c r="F63" s="588"/>
      <c r="G63" s="588"/>
      <c r="H63" s="588"/>
      <c r="I63" s="588"/>
      <c r="J63" s="589"/>
      <c r="K63" s="589"/>
      <c r="L63" s="589"/>
      <c r="M63" s="587">
        <f>SUM(F63,C63)</f>
        <v>306764.78</v>
      </c>
      <c r="N63" s="672"/>
    </row>
    <row r="64" spans="1:14" ht="16.5">
      <c r="A64" s="591" t="s">
        <v>99</v>
      </c>
      <c r="B64" s="590" t="s">
        <v>100</v>
      </c>
      <c r="C64" s="587">
        <v>35524.74</v>
      </c>
      <c r="D64" s="606"/>
      <c r="E64" s="606"/>
      <c r="F64" s="588"/>
      <c r="G64" s="587"/>
      <c r="H64" s="587"/>
      <c r="I64" s="587"/>
      <c r="J64" s="587"/>
      <c r="K64" s="587"/>
      <c r="L64" s="587"/>
      <c r="M64" s="587">
        <f>SUM(F64,C64)</f>
        <v>35524.74</v>
      </c>
      <c r="N64" s="672"/>
    </row>
    <row r="65" spans="1:14" ht="78.75">
      <c r="A65" s="591" t="s">
        <v>821</v>
      </c>
      <c r="B65" s="590" t="s">
        <v>886</v>
      </c>
      <c r="C65" s="587">
        <v>35524.74</v>
      </c>
      <c r="D65" s="606"/>
      <c r="E65" s="606"/>
      <c r="F65" s="588"/>
      <c r="G65" s="587"/>
      <c r="H65" s="587"/>
      <c r="I65" s="587"/>
      <c r="J65" s="587"/>
      <c r="K65" s="587"/>
      <c r="L65" s="587"/>
      <c r="M65" s="587">
        <f>SUM(F65,C65)</f>
        <v>35524.74</v>
      </c>
      <c r="N65" s="672"/>
    </row>
    <row r="66" spans="1:14" ht="31.5">
      <c r="A66" s="591"/>
      <c r="B66" s="590" t="s">
        <v>96</v>
      </c>
      <c r="C66" s="587">
        <v>15000</v>
      </c>
      <c r="D66" s="606"/>
      <c r="E66" s="607"/>
      <c r="F66" s="588"/>
      <c r="G66" s="587"/>
      <c r="H66" s="587"/>
      <c r="I66" s="587"/>
      <c r="J66" s="587"/>
      <c r="K66" s="587"/>
      <c r="L66" s="587"/>
      <c r="M66" s="587">
        <f>SUM(F66,C66)</f>
        <v>15000</v>
      </c>
      <c r="N66" s="672"/>
    </row>
    <row r="67" spans="1:14" ht="16.5">
      <c r="A67" s="684" t="s">
        <v>885</v>
      </c>
      <c r="B67" s="683" t="s">
        <v>884</v>
      </c>
      <c r="C67" s="588">
        <f>SUM(C68:C73)</f>
        <v>1838692.8499999999</v>
      </c>
      <c r="D67" s="588">
        <f>D69+D70+D72+D73</f>
        <v>0</v>
      </c>
      <c r="E67" s="588">
        <f>E69+E70+E72+E73</f>
        <v>0</v>
      </c>
      <c r="F67" s="588">
        <f>F69+F70+F72+F73</f>
        <v>110046.20999999999</v>
      </c>
      <c r="G67" s="588">
        <f>G69+G70+G72+G73</f>
        <v>0</v>
      </c>
      <c r="H67" s="588">
        <f>H69+H70+H72+H73</f>
        <v>0</v>
      </c>
      <c r="I67" s="588">
        <f>I69+I70+I72+I73</f>
        <v>0</v>
      </c>
      <c r="J67" s="588">
        <f>J69+J70+J72+J73</f>
        <v>110046.20999999999</v>
      </c>
      <c r="K67" s="588">
        <f>K69+K70+K72+K73</f>
        <v>110046.20999999999</v>
      </c>
      <c r="L67" s="588">
        <f>L69+L70+L72+L73</f>
        <v>0</v>
      </c>
      <c r="M67" s="587">
        <f>SUM(F67,C67)</f>
        <v>1948739.0599999998</v>
      </c>
      <c r="N67" s="672"/>
    </row>
    <row r="68" spans="1:14" ht="31.5">
      <c r="A68" s="591" t="s">
        <v>883</v>
      </c>
      <c r="B68" s="590" t="s">
        <v>882</v>
      </c>
      <c r="C68" s="588">
        <v>507708.72</v>
      </c>
      <c r="D68" s="588"/>
      <c r="E68" s="588"/>
      <c r="F68" s="588"/>
      <c r="G68" s="588"/>
      <c r="H68" s="588"/>
      <c r="I68" s="588"/>
      <c r="J68" s="588"/>
      <c r="K68" s="588"/>
      <c r="L68" s="588"/>
      <c r="M68" s="587">
        <f>SUM(F68,C68)</f>
        <v>507708.72</v>
      </c>
      <c r="N68" s="672"/>
    </row>
    <row r="69" spans="1:14" ht="47.25">
      <c r="A69" s="591" t="s">
        <v>105</v>
      </c>
      <c r="B69" s="590" t="s">
        <v>463</v>
      </c>
      <c r="C69" s="587">
        <v>139131.86</v>
      </c>
      <c r="D69" s="628"/>
      <c r="E69" s="628"/>
      <c r="F69" s="587">
        <f>G69+J69</f>
        <v>54346.21</v>
      </c>
      <c r="G69" s="628"/>
      <c r="H69" s="628"/>
      <c r="I69" s="628"/>
      <c r="J69" s="628">
        <v>54346.21</v>
      </c>
      <c r="K69" s="628">
        <v>54346.21</v>
      </c>
      <c r="L69" s="628"/>
      <c r="M69" s="587">
        <f>SUM(F69,C69)</f>
        <v>193478.06999999998</v>
      </c>
      <c r="N69" s="672"/>
    </row>
    <row r="70" spans="1:14" ht="47.25">
      <c r="A70" s="591" t="s">
        <v>107</v>
      </c>
      <c r="B70" s="590" t="s">
        <v>108</v>
      </c>
      <c r="C70" s="587">
        <v>493393.28</v>
      </c>
      <c r="D70" s="628"/>
      <c r="E70" s="628"/>
      <c r="F70" s="587">
        <f>G70+J70</f>
        <v>0</v>
      </c>
      <c r="G70" s="628"/>
      <c r="H70" s="628"/>
      <c r="I70" s="628"/>
      <c r="J70" s="628"/>
      <c r="K70" s="628"/>
      <c r="L70" s="628"/>
      <c r="M70" s="587">
        <f>SUM(F70,C70)</f>
        <v>493393.28</v>
      </c>
      <c r="N70" s="672"/>
    </row>
    <row r="71" spans="1:14" ht="47.25">
      <c r="A71" s="591" t="s">
        <v>881</v>
      </c>
      <c r="B71" s="625" t="s">
        <v>880</v>
      </c>
      <c r="C71" s="587">
        <v>72175.47</v>
      </c>
      <c r="D71" s="628"/>
      <c r="E71" s="628"/>
      <c r="F71" s="587">
        <f>G71+J71</f>
        <v>0</v>
      </c>
      <c r="G71" s="628"/>
      <c r="H71" s="628"/>
      <c r="I71" s="628"/>
      <c r="J71" s="628"/>
      <c r="K71" s="628"/>
      <c r="L71" s="628"/>
      <c r="M71" s="587">
        <f>SUM(F71,C71)</f>
        <v>72175.47</v>
      </c>
      <c r="N71" s="672"/>
    </row>
    <row r="72" spans="1:14" ht="63">
      <c r="A72" s="591" t="s">
        <v>462</v>
      </c>
      <c r="B72" s="625" t="s">
        <v>112</v>
      </c>
      <c r="C72" s="587">
        <v>589451.21</v>
      </c>
      <c r="D72" s="628"/>
      <c r="E72" s="628"/>
      <c r="F72" s="587">
        <f>G72+J72</f>
        <v>55700</v>
      </c>
      <c r="G72" s="628"/>
      <c r="H72" s="628"/>
      <c r="I72" s="628"/>
      <c r="J72" s="628">
        <v>55700</v>
      </c>
      <c r="K72" s="628">
        <v>55700</v>
      </c>
      <c r="L72" s="628"/>
      <c r="M72" s="587">
        <f>SUM(F72,C72)</f>
        <v>645151.21</v>
      </c>
      <c r="N72" s="672"/>
    </row>
    <row r="73" spans="1:14" ht="31.5">
      <c r="A73" s="591" t="s">
        <v>113</v>
      </c>
      <c r="B73" s="625" t="s">
        <v>114</v>
      </c>
      <c r="C73" s="587">
        <v>36832.31</v>
      </c>
      <c r="D73" s="628"/>
      <c r="E73" s="628"/>
      <c r="F73" s="587">
        <f>G73+J73</f>
        <v>0</v>
      </c>
      <c r="G73" s="628"/>
      <c r="H73" s="628"/>
      <c r="I73" s="628"/>
      <c r="J73" s="628"/>
      <c r="K73" s="628"/>
      <c r="L73" s="628"/>
      <c r="M73" s="587">
        <f>SUM(F73,C73)</f>
        <v>36832.31</v>
      </c>
      <c r="N73" s="672"/>
    </row>
    <row r="74" spans="1:14" s="582" customFormat="1" ht="31.5">
      <c r="A74" s="594" t="s">
        <v>461</v>
      </c>
      <c r="B74" s="593" t="s">
        <v>460</v>
      </c>
      <c r="C74" s="592">
        <f>C75+C79+C97</f>
        <v>1795607.1</v>
      </c>
      <c r="D74" s="592">
        <f>D75+D79+D97</f>
        <v>0</v>
      </c>
      <c r="E74" s="592">
        <f>E75+E79+E97</f>
        <v>0</v>
      </c>
      <c r="F74" s="592">
        <f>F75+F79+F97</f>
        <v>442076.52</v>
      </c>
      <c r="G74" s="592">
        <f>G75+G79+G97</f>
        <v>39900</v>
      </c>
      <c r="H74" s="592">
        <f>H75+H79+H97</f>
        <v>0</v>
      </c>
      <c r="I74" s="592">
        <f>I75+I79+I97</f>
        <v>0</v>
      </c>
      <c r="J74" s="592">
        <f>J75+J79+J97</f>
        <v>402176.52</v>
      </c>
      <c r="K74" s="592">
        <f>K75+K79+K97</f>
        <v>402176.52</v>
      </c>
      <c r="L74" s="592">
        <f>L75+L79+L97</f>
        <v>0</v>
      </c>
      <c r="M74" s="592">
        <f>C74+F74</f>
        <v>2237683.62</v>
      </c>
      <c r="N74" s="672"/>
    </row>
    <row r="75" spans="1:14" s="582" customFormat="1" ht="16.5">
      <c r="A75" s="684" t="s">
        <v>879</v>
      </c>
      <c r="B75" s="688" t="s">
        <v>878</v>
      </c>
      <c r="C75" s="588">
        <f>C77+C78+C76</f>
        <v>151516.16</v>
      </c>
      <c r="D75" s="588">
        <f>D77+D78+D76</f>
        <v>0</v>
      </c>
      <c r="E75" s="588">
        <f>E77+E78+E76</f>
        <v>0</v>
      </c>
      <c r="F75" s="588">
        <f>F77+F78+F76</f>
        <v>105533.5</v>
      </c>
      <c r="G75" s="588">
        <f>G77+G78+G76</f>
        <v>0</v>
      </c>
      <c r="H75" s="588">
        <f>H77+H78+H76</f>
        <v>0</v>
      </c>
      <c r="I75" s="588">
        <f>I77+I78+I76</f>
        <v>0</v>
      </c>
      <c r="J75" s="588">
        <f>J77+J78+J76</f>
        <v>105533.5</v>
      </c>
      <c r="K75" s="588">
        <f>K77+K78+K76</f>
        <v>105533.5</v>
      </c>
      <c r="L75" s="588">
        <f>L77+L78+L76</f>
        <v>0</v>
      </c>
      <c r="M75" s="621">
        <f>SUM(F75,C75)</f>
        <v>257049.66</v>
      </c>
      <c r="N75" s="672"/>
    </row>
    <row r="76" spans="1:14" s="582" customFormat="1" ht="31.5">
      <c r="A76" s="591" t="s">
        <v>877</v>
      </c>
      <c r="B76" s="614" t="s">
        <v>876</v>
      </c>
      <c r="C76" s="588"/>
      <c r="D76" s="595"/>
      <c r="E76" s="595"/>
      <c r="F76" s="588">
        <f>G76+J76</f>
        <v>105533.5</v>
      </c>
      <c r="G76" s="595"/>
      <c r="H76" s="595"/>
      <c r="I76" s="595"/>
      <c r="J76" s="589">
        <v>105533.5</v>
      </c>
      <c r="K76" s="589">
        <v>105533.5</v>
      </c>
      <c r="L76" s="595"/>
      <c r="M76" s="621">
        <f>SUM(F76,C76)</f>
        <v>105533.5</v>
      </c>
      <c r="N76" s="672"/>
    </row>
    <row r="77" spans="1:17" s="582" customFormat="1" ht="78.75">
      <c r="A77" s="591" t="s">
        <v>473</v>
      </c>
      <c r="B77" s="614" t="s">
        <v>875</v>
      </c>
      <c r="C77" s="621">
        <v>139901.81</v>
      </c>
      <c r="D77" s="588"/>
      <c r="E77" s="588"/>
      <c r="F77" s="588">
        <f>G77+J77</f>
        <v>0</v>
      </c>
      <c r="G77" s="588"/>
      <c r="H77" s="588"/>
      <c r="I77" s="588"/>
      <c r="J77" s="588"/>
      <c r="K77" s="588"/>
      <c r="L77" s="588"/>
      <c r="M77" s="621">
        <f>SUM(F77,C77)</f>
        <v>139901.81</v>
      </c>
      <c r="N77" s="672"/>
      <c r="O77" s="641"/>
      <c r="P77" s="641"/>
      <c r="Q77" s="641"/>
    </row>
    <row r="78" spans="1:17" s="582" customFormat="1" ht="63">
      <c r="A78" s="591" t="s">
        <v>719</v>
      </c>
      <c r="B78" s="614" t="s">
        <v>874</v>
      </c>
      <c r="C78" s="621">
        <v>11614.35</v>
      </c>
      <c r="D78" s="589"/>
      <c r="E78" s="589"/>
      <c r="F78" s="588">
        <f>G78+J78</f>
        <v>0</v>
      </c>
      <c r="G78" s="589"/>
      <c r="H78" s="588"/>
      <c r="I78" s="588"/>
      <c r="J78" s="588"/>
      <c r="K78" s="588"/>
      <c r="L78" s="588"/>
      <c r="M78" s="621">
        <f>SUM(F78,C78)</f>
        <v>11614.35</v>
      </c>
      <c r="N78" s="672"/>
      <c r="O78" s="641"/>
      <c r="P78" s="641"/>
      <c r="Q78" s="641"/>
    </row>
    <row r="79" spans="1:17" s="582" customFormat="1" ht="16.5">
      <c r="A79" s="684" t="s">
        <v>873</v>
      </c>
      <c r="B79" s="704" t="s">
        <v>872</v>
      </c>
      <c r="C79" s="621">
        <f>C80+C81+C83+C84+C85+C87+C86+C88+C89+C90+C91+C92</f>
        <v>1616030.1</v>
      </c>
      <c r="D79" s="621">
        <f>D80+D81+D83+D84+D85+D87+D86+D88+D89+D90+D91+D92</f>
        <v>0</v>
      </c>
      <c r="E79" s="621">
        <f>E80+E81+E83+E84+E85+E87+E86+E88+E89+E90+E91+E92</f>
        <v>0</v>
      </c>
      <c r="F79" s="588">
        <f>G79+J79</f>
        <v>330593.02</v>
      </c>
      <c r="G79" s="621">
        <f>G80+G81+G83+G84+G85+G87+G86+G88+G89+G90+G91+G92</f>
        <v>39900</v>
      </c>
      <c r="H79" s="621">
        <f>H80+H81+H83+H84+H85+H87+H86+H88+H89+H90+H91+H92</f>
        <v>0</v>
      </c>
      <c r="I79" s="621">
        <f>I80+I81+I83+I84+I85+I87+I86+I88+I89+I90+I91+I92</f>
        <v>0</v>
      </c>
      <c r="J79" s="621">
        <f>J80+J81+J83+J84+J85+J87+J86+J88+J89+J90+J91+J92</f>
        <v>290693.02</v>
      </c>
      <c r="K79" s="621">
        <f>K80+K81+K83+K84+K85+K87+K86+K88+K89+K90+K91+K92</f>
        <v>290693.02</v>
      </c>
      <c r="L79" s="621">
        <f>L80+L81+L83+L84+L85+L87+L86+L88+L89+L90+L91+L92</f>
        <v>0</v>
      </c>
      <c r="M79" s="621">
        <f>SUM(F79,C79)</f>
        <v>1946623.12</v>
      </c>
      <c r="N79" s="672"/>
      <c r="O79" s="641"/>
      <c r="P79" s="641"/>
      <c r="Q79" s="641"/>
    </row>
    <row r="80" spans="1:14" ht="16.5">
      <c r="A80" s="591" t="s">
        <v>716</v>
      </c>
      <c r="B80" s="703" t="s">
        <v>871</v>
      </c>
      <c r="C80" s="621">
        <v>275810.3</v>
      </c>
      <c r="D80" s="606"/>
      <c r="E80" s="606"/>
      <c r="F80" s="588">
        <f>G80+J80</f>
        <v>0</v>
      </c>
      <c r="G80" s="606"/>
      <c r="H80" s="606"/>
      <c r="I80" s="606"/>
      <c r="J80" s="606"/>
      <c r="K80" s="606"/>
      <c r="L80" s="606"/>
      <c r="M80" s="621">
        <f>SUM(F80,C80)</f>
        <v>275810.3</v>
      </c>
      <c r="N80" s="672"/>
    </row>
    <row r="81" spans="1:14" ht="94.5">
      <c r="A81" s="591" t="s">
        <v>457</v>
      </c>
      <c r="B81" s="614" t="s">
        <v>456</v>
      </c>
      <c r="C81" s="621">
        <v>629971.74</v>
      </c>
      <c r="D81" s="606"/>
      <c r="E81" s="606"/>
      <c r="F81" s="588">
        <f>G81+J81</f>
        <v>229093.02</v>
      </c>
      <c r="G81" s="606">
        <v>39900</v>
      </c>
      <c r="H81" s="606"/>
      <c r="I81" s="606"/>
      <c r="J81" s="606">
        <f>29600+159593.02</f>
        <v>189193.02</v>
      </c>
      <c r="K81" s="606">
        <f>29600+159593.02</f>
        <v>189193.02</v>
      </c>
      <c r="L81" s="606"/>
      <c r="M81" s="621">
        <f>SUM(F81,C81)</f>
        <v>859064.76</v>
      </c>
      <c r="N81" s="672"/>
    </row>
    <row r="82" spans="1:14" ht="99" customHeight="1">
      <c r="A82" s="591" t="s">
        <v>821</v>
      </c>
      <c r="B82" s="618" t="s">
        <v>843</v>
      </c>
      <c r="C82" s="621"/>
      <c r="D82" s="606"/>
      <c r="E82" s="606"/>
      <c r="F82" s="588">
        <f>G82+J82</f>
        <v>39900</v>
      </c>
      <c r="G82" s="606">
        <v>39900</v>
      </c>
      <c r="H82" s="606"/>
      <c r="I82" s="606"/>
      <c r="J82" s="606"/>
      <c r="K82" s="606"/>
      <c r="L82" s="606"/>
      <c r="M82" s="621">
        <f>SUM(F82,C82)</f>
        <v>39900</v>
      </c>
      <c r="N82" s="672"/>
    </row>
    <row r="83" spans="1:14" ht="31.5">
      <c r="A83" s="591" t="s">
        <v>711</v>
      </c>
      <c r="B83" s="614" t="s">
        <v>870</v>
      </c>
      <c r="C83" s="621">
        <v>129728.36</v>
      </c>
      <c r="D83" s="606"/>
      <c r="E83" s="606"/>
      <c r="F83" s="588"/>
      <c r="G83" s="606"/>
      <c r="H83" s="606"/>
      <c r="I83" s="606"/>
      <c r="J83" s="606"/>
      <c r="K83" s="606"/>
      <c r="L83" s="606"/>
      <c r="M83" s="621">
        <f>SUM(F83,C83)</f>
        <v>129728.36</v>
      </c>
      <c r="N83" s="672"/>
    </row>
    <row r="84" spans="1:14" ht="31.5">
      <c r="A84" s="591" t="s">
        <v>708</v>
      </c>
      <c r="B84" s="614" t="s">
        <v>869</v>
      </c>
      <c r="C84" s="621">
        <v>33365.31</v>
      </c>
      <c r="D84" s="628"/>
      <c r="E84" s="628"/>
      <c r="F84" s="588">
        <f>G84+J84</f>
        <v>0</v>
      </c>
      <c r="G84" s="628"/>
      <c r="H84" s="628"/>
      <c r="I84" s="628"/>
      <c r="J84" s="628"/>
      <c r="K84" s="628"/>
      <c r="L84" s="628"/>
      <c r="M84" s="621">
        <f>SUM(F84,C84)</f>
        <v>33365.31</v>
      </c>
      <c r="N84" s="672"/>
    </row>
    <row r="85" spans="1:14" ht="31.5">
      <c r="A85" s="591" t="s">
        <v>705</v>
      </c>
      <c r="B85" s="614" t="s">
        <v>868</v>
      </c>
      <c r="C85" s="621">
        <v>6720.29</v>
      </c>
      <c r="D85" s="628"/>
      <c r="E85" s="628"/>
      <c r="F85" s="588">
        <f>G85+J85</f>
        <v>0</v>
      </c>
      <c r="G85" s="628"/>
      <c r="H85" s="628"/>
      <c r="I85" s="628"/>
      <c r="J85" s="628"/>
      <c r="K85" s="628"/>
      <c r="L85" s="628"/>
      <c r="M85" s="621">
        <f>SUM(F85,C85)</f>
        <v>6720.29</v>
      </c>
      <c r="N85" s="672"/>
    </row>
    <row r="86" spans="1:14" ht="16.5">
      <c r="A86" s="591" t="s">
        <v>702</v>
      </c>
      <c r="B86" s="614" t="s">
        <v>867</v>
      </c>
      <c r="C86" s="621">
        <v>27380.3</v>
      </c>
      <c r="D86" s="628"/>
      <c r="E86" s="628"/>
      <c r="F86" s="588">
        <f>G86+J86</f>
        <v>0</v>
      </c>
      <c r="G86" s="628"/>
      <c r="H86" s="628"/>
      <c r="I86" s="628"/>
      <c r="J86" s="628"/>
      <c r="K86" s="628"/>
      <c r="L86" s="628"/>
      <c r="M86" s="621">
        <f>SUM(F86,C86)</f>
        <v>27380.3</v>
      </c>
      <c r="N86" s="672"/>
    </row>
    <row r="87" spans="1:14" ht="16.5">
      <c r="A87" s="591" t="s">
        <v>699</v>
      </c>
      <c r="B87" s="614" t="s">
        <v>866</v>
      </c>
      <c r="C87" s="621">
        <v>28347.8</v>
      </c>
      <c r="D87" s="607"/>
      <c r="E87" s="607"/>
      <c r="F87" s="588">
        <f>G87+J87</f>
        <v>0</v>
      </c>
      <c r="G87" s="606"/>
      <c r="H87" s="606"/>
      <c r="I87" s="606"/>
      <c r="J87" s="606"/>
      <c r="K87" s="606"/>
      <c r="L87" s="606"/>
      <c r="M87" s="621">
        <f>SUM(F87,C87)</f>
        <v>28347.8</v>
      </c>
      <c r="N87" s="672"/>
    </row>
    <row r="88" spans="1:14" ht="63">
      <c r="A88" s="591" t="s">
        <v>455</v>
      </c>
      <c r="B88" s="614" t="s">
        <v>454</v>
      </c>
      <c r="C88" s="621">
        <v>345750.43</v>
      </c>
      <c r="D88" s="628"/>
      <c r="E88" s="628"/>
      <c r="F88" s="621">
        <f>G88+J88</f>
        <v>71500</v>
      </c>
      <c r="G88" s="628"/>
      <c r="H88" s="628"/>
      <c r="I88" s="628"/>
      <c r="J88" s="628">
        <v>71500</v>
      </c>
      <c r="K88" s="628">
        <v>71500</v>
      </c>
      <c r="L88" s="628"/>
      <c r="M88" s="621">
        <f>SUM(F88,C88)</f>
        <v>417250.43</v>
      </c>
      <c r="N88" s="672"/>
    </row>
    <row r="89" spans="1:14" ht="31.5">
      <c r="A89" s="591" t="s">
        <v>865</v>
      </c>
      <c r="B89" s="614" t="s">
        <v>864</v>
      </c>
      <c r="C89" s="621">
        <v>4058.78</v>
      </c>
      <c r="D89" s="628"/>
      <c r="E89" s="628"/>
      <c r="F89" s="621">
        <f>G89+J89</f>
        <v>0</v>
      </c>
      <c r="G89" s="628"/>
      <c r="H89" s="628"/>
      <c r="I89" s="628"/>
      <c r="J89" s="628"/>
      <c r="K89" s="628"/>
      <c r="L89" s="628"/>
      <c r="M89" s="621">
        <f>SUM(F89,C89)</f>
        <v>4058.78</v>
      </c>
      <c r="N89" s="672"/>
    </row>
    <row r="90" spans="1:14" ht="31.5">
      <c r="A90" s="591" t="s">
        <v>691</v>
      </c>
      <c r="B90" s="614" t="s">
        <v>863</v>
      </c>
      <c r="C90" s="621">
        <v>4395.73</v>
      </c>
      <c r="D90" s="628"/>
      <c r="E90" s="628"/>
      <c r="F90" s="621">
        <f>G90+J90</f>
        <v>0</v>
      </c>
      <c r="G90" s="628"/>
      <c r="H90" s="628"/>
      <c r="I90" s="628"/>
      <c r="J90" s="628"/>
      <c r="K90" s="628"/>
      <c r="L90" s="628"/>
      <c r="M90" s="621">
        <f>SUM(F90,C90)</f>
        <v>4395.73</v>
      </c>
      <c r="N90" s="672"/>
    </row>
    <row r="91" spans="1:14" ht="17.25" customHeight="1">
      <c r="A91" s="591" t="s">
        <v>688</v>
      </c>
      <c r="B91" s="614" t="s">
        <v>862</v>
      </c>
      <c r="C91" s="621">
        <v>49658.82</v>
      </c>
      <c r="D91" s="628"/>
      <c r="E91" s="628"/>
      <c r="F91" s="621">
        <f>G91+J91</f>
        <v>0</v>
      </c>
      <c r="G91" s="628"/>
      <c r="H91" s="628"/>
      <c r="I91" s="628"/>
      <c r="J91" s="628"/>
      <c r="K91" s="628"/>
      <c r="L91" s="628"/>
      <c r="M91" s="621">
        <f>SUM(F91,C91)</f>
        <v>49658.82</v>
      </c>
      <c r="N91" s="672"/>
    </row>
    <row r="92" spans="1:14" ht="16.5">
      <c r="A92" s="591" t="s">
        <v>453</v>
      </c>
      <c r="B92" s="614" t="s">
        <v>452</v>
      </c>
      <c r="C92" s="623">
        <f>C93+C94+C95+C96</f>
        <v>80842.23999999999</v>
      </c>
      <c r="D92" s="623">
        <f>D93+D94+D95+D96</f>
        <v>0</v>
      </c>
      <c r="E92" s="623">
        <f>E93+E94+E95+E96</f>
        <v>0</v>
      </c>
      <c r="F92" s="623">
        <f>F93+F94+F95+F96</f>
        <v>30000</v>
      </c>
      <c r="G92" s="623">
        <f>G93+G94+G95+G96</f>
        <v>0</v>
      </c>
      <c r="H92" s="623">
        <f>H93+H94+H95+H96</f>
        <v>0</v>
      </c>
      <c r="I92" s="623">
        <f>I93+I94+I95+I96</f>
        <v>0</v>
      </c>
      <c r="J92" s="623">
        <f>J93+J94+J95+J96</f>
        <v>30000</v>
      </c>
      <c r="K92" s="623">
        <f>K93+K94+K95+K96</f>
        <v>30000</v>
      </c>
      <c r="L92" s="623">
        <f>L93+L94+L95+L96</f>
        <v>0</v>
      </c>
      <c r="M92" s="621">
        <f>SUM(F92,C92)</f>
        <v>110842.23999999999</v>
      </c>
      <c r="N92" s="672"/>
    </row>
    <row r="93" spans="1:14" ht="64.5" customHeight="1">
      <c r="A93" s="591"/>
      <c r="B93" s="614" t="s">
        <v>861</v>
      </c>
      <c r="C93" s="623">
        <v>3317.23</v>
      </c>
      <c r="D93" s="622"/>
      <c r="E93" s="622"/>
      <c r="F93" s="621">
        <f>G93+J93</f>
        <v>0</v>
      </c>
      <c r="G93" s="623"/>
      <c r="H93" s="623"/>
      <c r="I93" s="623"/>
      <c r="J93" s="622"/>
      <c r="K93" s="622"/>
      <c r="L93" s="622"/>
      <c r="M93" s="621">
        <f>SUM(F93,C93)</f>
        <v>3317.23</v>
      </c>
      <c r="N93" s="672"/>
    </row>
    <row r="94" spans="1:14" ht="50.25" customHeight="1">
      <c r="A94" s="591"/>
      <c r="B94" s="614" t="s">
        <v>860</v>
      </c>
      <c r="C94" s="623">
        <v>19188.17</v>
      </c>
      <c r="D94" s="622"/>
      <c r="E94" s="622"/>
      <c r="F94" s="621">
        <f>G94+J94</f>
        <v>30000</v>
      </c>
      <c r="G94" s="623"/>
      <c r="H94" s="623"/>
      <c r="I94" s="623"/>
      <c r="J94" s="622">
        <v>30000</v>
      </c>
      <c r="K94" s="622">
        <v>30000</v>
      </c>
      <c r="L94" s="622"/>
      <c r="M94" s="621">
        <f>SUM(F94,C94)</f>
        <v>49188.17</v>
      </c>
      <c r="N94" s="672"/>
    </row>
    <row r="95" spans="1:14" ht="32.25" customHeight="1">
      <c r="A95" s="591"/>
      <c r="B95" s="614" t="s">
        <v>859</v>
      </c>
      <c r="C95" s="623">
        <v>1736.05</v>
      </c>
      <c r="D95" s="622"/>
      <c r="E95" s="622"/>
      <c r="F95" s="621">
        <f>G95+J95</f>
        <v>0</v>
      </c>
      <c r="G95" s="623"/>
      <c r="H95" s="623"/>
      <c r="I95" s="623"/>
      <c r="J95" s="622"/>
      <c r="K95" s="622"/>
      <c r="L95" s="622"/>
      <c r="M95" s="621">
        <f>SUM(F95,C95)</f>
        <v>1736.05</v>
      </c>
      <c r="N95" s="672"/>
    </row>
    <row r="96" spans="1:14" ht="61.5" customHeight="1">
      <c r="A96" s="591"/>
      <c r="B96" s="614" t="s">
        <v>858</v>
      </c>
      <c r="C96" s="623">
        <v>56600.79</v>
      </c>
      <c r="D96" s="622"/>
      <c r="E96" s="622"/>
      <c r="F96" s="621">
        <f>G96+J96</f>
        <v>0</v>
      </c>
      <c r="G96" s="623"/>
      <c r="H96" s="623"/>
      <c r="I96" s="623"/>
      <c r="J96" s="622"/>
      <c r="K96" s="622"/>
      <c r="L96" s="622"/>
      <c r="M96" s="621">
        <f>SUM(F96,C96)</f>
        <v>56600.79</v>
      </c>
      <c r="N96" s="672"/>
    </row>
    <row r="97" spans="1:14" ht="16.5">
      <c r="A97" s="684" t="s">
        <v>851</v>
      </c>
      <c r="B97" s="683" t="s">
        <v>850</v>
      </c>
      <c r="C97" s="621">
        <f>C98</f>
        <v>28060.84</v>
      </c>
      <c r="D97" s="621">
        <f>D98</f>
        <v>0</v>
      </c>
      <c r="E97" s="621">
        <f>E98</f>
        <v>0</v>
      </c>
      <c r="F97" s="621">
        <f>F98</f>
        <v>5950</v>
      </c>
      <c r="G97" s="621">
        <f>G98</f>
        <v>0</v>
      </c>
      <c r="H97" s="621">
        <f>H98</f>
        <v>0</v>
      </c>
      <c r="I97" s="621">
        <f>I98</f>
        <v>0</v>
      </c>
      <c r="J97" s="621">
        <f>J98</f>
        <v>5950</v>
      </c>
      <c r="K97" s="621">
        <f>K98</f>
        <v>5950</v>
      </c>
      <c r="L97" s="621">
        <f>L98</f>
        <v>0</v>
      </c>
      <c r="M97" s="621">
        <f>SUM(F97,C97)</f>
        <v>34010.84</v>
      </c>
      <c r="N97" s="672"/>
    </row>
    <row r="98" spans="1:29" ht="16.5">
      <c r="A98" s="591" t="s">
        <v>441</v>
      </c>
      <c r="B98" s="614" t="s">
        <v>451</v>
      </c>
      <c r="C98" s="621">
        <v>28060.84</v>
      </c>
      <c r="D98" s="628"/>
      <c r="E98" s="628"/>
      <c r="F98" s="621">
        <f>G98+J98</f>
        <v>5950</v>
      </c>
      <c r="G98" s="628"/>
      <c r="H98" s="628"/>
      <c r="I98" s="628"/>
      <c r="J98" s="628">
        <v>5950</v>
      </c>
      <c r="K98" s="628">
        <v>5950</v>
      </c>
      <c r="L98" s="628"/>
      <c r="M98" s="621">
        <f>SUM(F98,C98)</f>
        <v>34010.84</v>
      </c>
      <c r="N98" s="672"/>
      <c r="O98" s="632"/>
      <c r="P98" s="632"/>
      <c r="Q98" s="632"/>
      <c r="R98" s="632"/>
      <c r="S98" s="632"/>
      <c r="T98" s="632"/>
      <c r="U98" s="632"/>
      <c r="V98" s="632"/>
      <c r="W98" s="632"/>
      <c r="X98" s="632"/>
      <c r="Y98" s="632"/>
      <c r="Z98" s="632"/>
      <c r="AA98" s="632"/>
      <c r="AB98" s="632"/>
      <c r="AC98" s="632"/>
    </row>
    <row r="99" spans="1:29" s="582" customFormat="1" ht="47.25">
      <c r="A99" s="594" t="s">
        <v>65</v>
      </c>
      <c r="B99" s="620" t="s">
        <v>68</v>
      </c>
      <c r="C99" s="592">
        <f>C100</f>
        <v>1775914.01</v>
      </c>
      <c r="D99" s="592">
        <f>D100</f>
        <v>0</v>
      </c>
      <c r="E99" s="592">
        <f>E100</f>
        <v>0</v>
      </c>
      <c r="F99" s="592">
        <f>F100</f>
        <v>297862.02</v>
      </c>
      <c r="G99" s="592">
        <f>G100</f>
        <v>0</v>
      </c>
      <c r="H99" s="592">
        <f>H100</f>
        <v>0</v>
      </c>
      <c r="I99" s="592">
        <f>I100</f>
        <v>0</v>
      </c>
      <c r="J99" s="592">
        <f>J100</f>
        <v>297862.02</v>
      </c>
      <c r="K99" s="592">
        <f>K100</f>
        <v>297862.02</v>
      </c>
      <c r="L99" s="592">
        <f>L100</f>
        <v>0</v>
      </c>
      <c r="M99" s="592">
        <f>C99+F99</f>
        <v>2073776.03</v>
      </c>
      <c r="N99" s="672"/>
      <c r="O99" s="640"/>
      <c r="P99" s="640"/>
      <c r="Q99" s="640"/>
      <c r="R99" s="640"/>
      <c r="S99" s="640"/>
      <c r="T99" s="640"/>
      <c r="U99" s="640"/>
      <c r="V99" s="640"/>
      <c r="W99" s="640"/>
      <c r="X99" s="640"/>
      <c r="Y99" s="640"/>
      <c r="Z99" s="640"/>
      <c r="AA99" s="640"/>
      <c r="AB99" s="640"/>
      <c r="AC99" s="640"/>
    </row>
    <row r="100" spans="1:29" s="582" customFormat="1" ht="31.5">
      <c r="A100" s="702" t="s">
        <v>854</v>
      </c>
      <c r="B100" s="701" t="s">
        <v>853</v>
      </c>
      <c r="C100" s="588">
        <f>SUM(C101:C113)-C104-C107-C108-C110</f>
        <v>1775914.01</v>
      </c>
      <c r="D100" s="588">
        <f>SUM(D101:D113)-D104</f>
        <v>0</v>
      </c>
      <c r="E100" s="588">
        <f>SUM(E101:E113)-E104</f>
        <v>0</v>
      </c>
      <c r="F100" s="588">
        <f>SUM(F101:F113)-F104</f>
        <v>297862.02</v>
      </c>
      <c r="G100" s="588">
        <f>SUM(G101:G113)-G104</f>
        <v>0</v>
      </c>
      <c r="H100" s="588">
        <f>SUM(H101:H113)-H104</f>
        <v>0</v>
      </c>
      <c r="I100" s="588">
        <f>SUM(I101:I113)-I104</f>
        <v>0</v>
      </c>
      <c r="J100" s="588">
        <f>SUM(J101:J113)-J104</f>
        <v>297862.02</v>
      </c>
      <c r="K100" s="588">
        <f>SUM(K101:K113)-K104</f>
        <v>297862.02</v>
      </c>
      <c r="L100" s="588">
        <f>SUM(L101:L113)-L104</f>
        <v>0</v>
      </c>
      <c r="M100" s="621">
        <f>SUM(F100,C100)</f>
        <v>2073776.03</v>
      </c>
      <c r="N100" s="672"/>
      <c r="O100" s="640"/>
      <c r="P100" s="640"/>
      <c r="Q100" s="640"/>
      <c r="R100" s="640"/>
      <c r="S100" s="640"/>
      <c r="T100" s="640"/>
      <c r="U100" s="640"/>
      <c r="V100" s="640"/>
      <c r="W100" s="640"/>
      <c r="X100" s="640"/>
      <c r="Y100" s="640"/>
      <c r="Z100" s="640"/>
      <c r="AA100" s="640"/>
      <c r="AB100" s="640"/>
      <c r="AC100" s="640"/>
    </row>
    <row r="101" spans="1:29" ht="31.5">
      <c r="A101" s="591" t="s">
        <v>450</v>
      </c>
      <c r="B101" s="614" t="s">
        <v>449</v>
      </c>
      <c r="C101" s="587">
        <v>49657.23</v>
      </c>
      <c r="D101" s="607"/>
      <c r="E101" s="607"/>
      <c r="F101" s="605">
        <f>G101+J101</f>
        <v>4000</v>
      </c>
      <c r="G101" s="607"/>
      <c r="H101" s="607"/>
      <c r="I101" s="607"/>
      <c r="J101" s="607">
        <v>4000</v>
      </c>
      <c r="K101" s="607">
        <v>4000</v>
      </c>
      <c r="L101" s="587"/>
      <c r="M101" s="621">
        <f>SUM(F101,C101)</f>
        <v>53657.23</v>
      </c>
      <c r="N101" s="67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  <c r="Y101" s="632"/>
      <c r="Z101" s="632"/>
      <c r="AA101" s="632"/>
      <c r="AB101" s="632"/>
      <c r="AC101" s="632"/>
    </row>
    <row r="102" spans="1:29" ht="63">
      <c r="A102" s="591" t="s">
        <v>655</v>
      </c>
      <c r="B102" s="590" t="s">
        <v>852</v>
      </c>
      <c r="C102" s="587">
        <v>6473.9</v>
      </c>
      <c r="D102" s="607"/>
      <c r="E102" s="607"/>
      <c r="F102" s="605">
        <f>G102+J102</f>
        <v>0</v>
      </c>
      <c r="G102" s="607"/>
      <c r="H102" s="607"/>
      <c r="I102" s="607"/>
      <c r="J102" s="607"/>
      <c r="K102" s="607"/>
      <c r="L102" s="587"/>
      <c r="M102" s="621">
        <f>SUM(F102,C102)</f>
        <v>6473.9</v>
      </c>
      <c r="N102" s="67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</row>
    <row r="103" spans="1:29" ht="47.25">
      <c r="A103" s="591" t="s">
        <v>448</v>
      </c>
      <c r="B103" s="618" t="s">
        <v>447</v>
      </c>
      <c r="C103" s="587">
        <v>943191.4</v>
      </c>
      <c r="D103" s="607"/>
      <c r="E103" s="607"/>
      <c r="F103" s="605">
        <f>G103+J103</f>
        <v>165028</v>
      </c>
      <c r="G103" s="607"/>
      <c r="H103" s="607"/>
      <c r="I103" s="607"/>
      <c r="J103" s="607">
        <v>165028</v>
      </c>
      <c r="K103" s="607">
        <v>165028</v>
      </c>
      <c r="L103" s="606"/>
      <c r="M103" s="621">
        <f>SUM(F103,C103)</f>
        <v>1108219.4</v>
      </c>
      <c r="N103" s="672"/>
      <c r="O103" s="632"/>
      <c r="P103" s="632"/>
      <c r="Q103" s="632"/>
      <c r="R103" s="632"/>
      <c r="S103" s="632"/>
      <c r="T103" s="632"/>
      <c r="U103" s="632"/>
      <c r="V103" s="632"/>
      <c r="W103" s="632"/>
      <c r="X103" s="632"/>
      <c r="Y103" s="632"/>
      <c r="Z103" s="632"/>
      <c r="AA103" s="632"/>
      <c r="AB103" s="632"/>
      <c r="AC103" s="632"/>
    </row>
    <row r="104" spans="1:29" ht="99.75" customHeight="1">
      <c r="A104" s="591" t="s">
        <v>821</v>
      </c>
      <c r="B104" s="618" t="s">
        <v>843</v>
      </c>
      <c r="C104" s="587"/>
      <c r="D104" s="607"/>
      <c r="E104" s="607"/>
      <c r="F104" s="605">
        <f>G104+J104</f>
        <v>9200</v>
      </c>
      <c r="G104" s="607"/>
      <c r="H104" s="607"/>
      <c r="I104" s="607"/>
      <c r="J104" s="607">
        <v>9200</v>
      </c>
      <c r="K104" s="607">
        <v>9200</v>
      </c>
      <c r="L104" s="606"/>
      <c r="M104" s="621">
        <f>SUM(F104,C104)</f>
        <v>9200</v>
      </c>
      <c r="N104" s="67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632"/>
    </row>
    <row r="105" spans="1:29" ht="31.5">
      <c r="A105" s="591" t="s">
        <v>671</v>
      </c>
      <c r="B105" s="590" t="s">
        <v>857</v>
      </c>
      <c r="C105" s="587">
        <v>37925.81</v>
      </c>
      <c r="D105" s="607"/>
      <c r="E105" s="607"/>
      <c r="F105" s="605">
        <f>G105+J105</f>
        <v>0</v>
      </c>
      <c r="G105" s="607"/>
      <c r="H105" s="607"/>
      <c r="I105" s="607"/>
      <c r="J105" s="607"/>
      <c r="K105" s="607"/>
      <c r="L105" s="606"/>
      <c r="M105" s="621">
        <f>SUM(F105,C105)</f>
        <v>37925.81</v>
      </c>
      <c r="N105" s="672"/>
      <c r="O105" s="632"/>
      <c r="P105" s="632"/>
      <c r="Q105" s="632"/>
      <c r="R105" s="632"/>
      <c r="S105" s="632"/>
      <c r="T105" s="632"/>
      <c r="U105" s="632"/>
      <c r="V105" s="632"/>
      <c r="W105" s="632"/>
      <c r="X105" s="632"/>
      <c r="Y105" s="632"/>
      <c r="Z105" s="632"/>
      <c r="AA105" s="632"/>
      <c r="AB105" s="632"/>
      <c r="AC105" s="632"/>
    </row>
    <row r="106" spans="1:29" ht="47.25">
      <c r="A106" s="591" t="s">
        <v>94</v>
      </c>
      <c r="B106" s="590" t="s">
        <v>95</v>
      </c>
      <c r="C106" s="587">
        <v>22588.22</v>
      </c>
      <c r="D106" s="607"/>
      <c r="E106" s="607"/>
      <c r="F106" s="605">
        <f>G106+J106</f>
        <v>0</v>
      </c>
      <c r="G106" s="607"/>
      <c r="H106" s="607"/>
      <c r="I106" s="607"/>
      <c r="J106" s="607"/>
      <c r="K106" s="607"/>
      <c r="L106" s="606"/>
      <c r="M106" s="621">
        <f>SUM(F106,C106)</f>
        <v>22588.22</v>
      </c>
      <c r="N106" s="672"/>
      <c r="O106" s="632"/>
      <c r="P106" s="632"/>
      <c r="Q106" s="632"/>
      <c r="R106" s="632"/>
      <c r="S106" s="632"/>
      <c r="T106" s="632"/>
      <c r="U106" s="632"/>
      <c r="V106" s="632"/>
      <c r="W106" s="632"/>
      <c r="X106" s="632"/>
      <c r="Y106" s="632"/>
      <c r="Z106" s="632"/>
      <c r="AA106" s="632"/>
      <c r="AB106" s="632"/>
      <c r="AC106" s="632"/>
    </row>
    <row r="107" spans="1:29" ht="31.5">
      <c r="A107" s="591" t="s">
        <v>821</v>
      </c>
      <c r="B107" s="590" t="s">
        <v>96</v>
      </c>
      <c r="C107" s="587">
        <v>19373.22</v>
      </c>
      <c r="D107" s="607"/>
      <c r="E107" s="607"/>
      <c r="F107" s="605"/>
      <c r="G107" s="607"/>
      <c r="H107" s="607"/>
      <c r="I107" s="607"/>
      <c r="J107" s="607"/>
      <c r="K107" s="607"/>
      <c r="L107" s="606"/>
      <c r="M107" s="621">
        <f>SUM(F107,C107)</f>
        <v>19373.22</v>
      </c>
      <c r="N107" s="672"/>
      <c r="O107" s="632"/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632"/>
      <c r="AB107" s="632"/>
      <c r="AC107" s="632"/>
    </row>
    <row r="108" spans="1:29" ht="78.75">
      <c r="A108" s="591"/>
      <c r="B108" s="590" t="s">
        <v>101</v>
      </c>
      <c r="C108" s="587">
        <v>3215</v>
      </c>
      <c r="D108" s="607"/>
      <c r="E108" s="607"/>
      <c r="F108" s="605"/>
      <c r="G108" s="607"/>
      <c r="H108" s="607"/>
      <c r="I108" s="607"/>
      <c r="J108" s="607"/>
      <c r="K108" s="607"/>
      <c r="L108" s="606"/>
      <c r="M108" s="621">
        <f>SUM(F108,C108)</f>
        <v>3215</v>
      </c>
      <c r="N108" s="672"/>
      <c r="O108" s="632"/>
      <c r="P108" s="632"/>
      <c r="Q108" s="632"/>
      <c r="R108" s="632"/>
      <c r="S108" s="632"/>
      <c r="T108" s="632"/>
      <c r="U108" s="632"/>
      <c r="V108" s="632"/>
      <c r="W108" s="632"/>
      <c r="X108" s="632"/>
      <c r="Y108" s="632"/>
      <c r="Z108" s="632"/>
      <c r="AA108" s="632"/>
      <c r="AB108" s="632"/>
      <c r="AC108" s="632"/>
    </row>
    <row r="109" spans="1:29" ht="16.5">
      <c r="A109" s="591" t="s">
        <v>99</v>
      </c>
      <c r="B109" s="590" t="s">
        <v>856</v>
      </c>
      <c r="C109" s="587">
        <v>162.07</v>
      </c>
      <c r="D109" s="607"/>
      <c r="E109" s="607"/>
      <c r="F109" s="605">
        <f>G109+J109</f>
        <v>0</v>
      </c>
      <c r="G109" s="607"/>
      <c r="H109" s="607"/>
      <c r="I109" s="607"/>
      <c r="J109" s="607"/>
      <c r="K109" s="607"/>
      <c r="L109" s="606"/>
      <c r="M109" s="621">
        <f>SUM(F109,C109)</f>
        <v>162.07</v>
      </c>
      <c r="N109" s="672"/>
      <c r="O109" s="632"/>
      <c r="P109" s="632"/>
      <c r="Q109" s="632"/>
      <c r="R109" s="632"/>
      <c r="S109" s="632"/>
      <c r="T109" s="632"/>
      <c r="U109" s="632"/>
      <c r="V109" s="632"/>
      <c r="W109" s="632"/>
      <c r="X109" s="632"/>
      <c r="Y109" s="632"/>
      <c r="Z109" s="632"/>
      <c r="AA109" s="632"/>
      <c r="AB109" s="632"/>
      <c r="AC109" s="632"/>
    </row>
    <row r="110" spans="1:29" ht="47.25">
      <c r="A110" s="591" t="s">
        <v>821</v>
      </c>
      <c r="B110" s="590" t="s">
        <v>855</v>
      </c>
      <c r="C110" s="587">
        <v>162.07</v>
      </c>
      <c r="D110" s="607"/>
      <c r="E110" s="607"/>
      <c r="F110" s="605">
        <f>G110+J110</f>
        <v>0</v>
      </c>
      <c r="G110" s="607"/>
      <c r="H110" s="607"/>
      <c r="I110" s="607"/>
      <c r="J110" s="607"/>
      <c r="K110" s="607"/>
      <c r="L110" s="606"/>
      <c r="M110" s="621">
        <f>SUM(F110,C110)</f>
        <v>162.07</v>
      </c>
      <c r="N110" s="67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</row>
    <row r="111" spans="1:29" ht="47.25">
      <c r="A111" s="591" t="s">
        <v>446</v>
      </c>
      <c r="B111" s="608" t="s">
        <v>445</v>
      </c>
      <c r="C111" s="587">
        <v>519637.74</v>
      </c>
      <c r="D111" s="607"/>
      <c r="E111" s="607"/>
      <c r="F111" s="605">
        <f>G111+J111</f>
        <v>39800</v>
      </c>
      <c r="G111" s="607"/>
      <c r="H111" s="607"/>
      <c r="I111" s="607"/>
      <c r="J111" s="607">
        <v>39800</v>
      </c>
      <c r="K111" s="607">
        <v>39800</v>
      </c>
      <c r="L111" s="606"/>
      <c r="M111" s="621">
        <f>SUM(F111,C111)</f>
        <v>559437.74</v>
      </c>
      <c r="N111" s="67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</row>
    <row r="112" spans="1:29" ht="33" customHeight="1">
      <c r="A112" s="591" t="s">
        <v>444</v>
      </c>
      <c r="B112" s="608" t="s">
        <v>443</v>
      </c>
      <c r="C112" s="587">
        <v>161488.47</v>
      </c>
      <c r="D112" s="607"/>
      <c r="E112" s="607"/>
      <c r="F112" s="605">
        <f>G112+J112</f>
        <v>89034.02</v>
      </c>
      <c r="G112" s="587"/>
      <c r="H112" s="587"/>
      <c r="I112" s="587"/>
      <c r="J112" s="606">
        <v>89034.02</v>
      </c>
      <c r="K112" s="606">
        <v>89034.02</v>
      </c>
      <c r="L112" s="606"/>
      <c r="M112" s="621">
        <f>SUM(F112,C112)</f>
        <v>250522.49</v>
      </c>
      <c r="N112" s="672"/>
      <c r="O112" s="632"/>
      <c r="P112" s="632"/>
      <c r="Q112" s="632"/>
      <c r="R112" s="632"/>
      <c r="S112" s="632"/>
      <c r="T112" s="632"/>
      <c r="U112" s="632"/>
      <c r="V112" s="632"/>
      <c r="W112" s="632"/>
      <c r="X112" s="632"/>
      <c r="Y112" s="632"/>
      <c r="Z112" s="632"/>
      <c r="AA112" s="632"/>
      <c r="AB112" s="632"/>
      <c r="AC112" s="632"/>
    </row>
    <row r="113" spans="1:29" ht="16.5">
      <c r="A113" s="591" t="s">
        <v>66</v>
      </c>
      <c r="B113" s="631" t="s">
        <v>661</v>
      </c>
      <c r="C113" s="587">
        <v>34789.17</v>
      </c>
      <c r="D113" s="606"/>
      <c r="E113" s="606"/>
      <c r="F113" s="605">
        <f>G113+J113</f>
        <v>0</v>
      </c>
      <c r="G113" s="587"/>
      <c r="H113" s="587"/>
      <c r="I113" s="587"/>
      <c r="J113" s="587"/>
      <c r="K113" s="587"/>
      <c r="L113" s="587"/>
      <c r="M113" s="621">
        <f>SUM(F113,C113)</f>
        <v>34789.17</v>
      </c>
      <c r="N113" s="672"/>
      <c r="O113" s="632"/>
      <c r="P113" s="632"/>
      <c r="Q113" s="632"/>
      <c r="R113" s="632"/>
      <c r="S113" s="632"/>
      <c r="T113" s="632"/>
      <c r="U113" s="632"/>
      <c r="V113" s="632"/>
      <c r="W113" s="632"/>
      <c r="X113" s="632"/>
      <c r="Y113" s="632"/>
      <c r="Z113" s="632"/>
      <c r="AA113" s="632"/>
      <c r="AB113" s="632"/>
      <c r="AC113" s="632"/>
    </row>
    <row r="114" spans="1:14" s="582" customFormat="1" ht="31.5">
      <c r="A114" s="594" t="s">
        <v>660</v>
      </c>
      <c r="B114" s="620" t="s">
        <v>659</v>
      </c>
      <c r="C114" s="592">
        <f>C116</f>
        <v>25703.67</v>
      </c>
      <c r="D114" s="592">
        <f>D116</f>
        <v>0</v>
      </c>
      <c r="E114" s="592">
        <f>E116</f>
        <v>0</v>
      </c>
      <c r="F114" s="592">
        <f>F116</f>
        <v>0</v>
      </c>
      <c r="G114" s="592">
        <f>G116</f>
        <v>0</v>
      </c>
      <c r="H114" s="592">
        <f>H116</f>
        <v>0</v>
      </c>
      <c r="I114" s="592">
        <f>I116</f>
        <v>0</v>
      </c>
      <c r="J114" s="592">
        <f>J116</f>
        <v>0</v>
      </c>
      <c r="K114" s="592">
        <f>K116</f>
        <v>0</v>
      </c>
      <c r="L114" s="592">
        <f>L116</f>
        <v>0</v>
      </c>
      <c r="M114" s="592">
        <f>C114+F114</f>
        <v>25703.67</v>
      </c>
      <c r="N114" s="672"/>
    </row>
    <row r="115" spans="1:14" s="582" customFormat="1" ht="31.5">
      <c r="A115" s="702" t="s">
        <v>854</v>
      </c>
      <c r="B115" s="701" t="s">
        <v>853</v>
      </c>
      <c r="C115" s="588">
        <f>C116</f>
        <v>25703.67</v>
      </c>
      <c r="D115" s="589"/>
      <c r="E115" s="589"/>
      <c r="F115" s="588">
        <f>F116</f>
        <v>0</v>
      </c>
      <c r="G115" s="588">
        <f>G116</f>
        <v>0</v>
      </c>
      <c r="H115" s="588">
        <f>H116</f>
        <v>0</v>
      </c>
      <c r="I115" s="588">
        <f>I116</f>
        <v>0</v>
      </c>
      <c r="J115" s="588">
        <f>J116</f>
        <v>0</v>
      </c>
      <c r="K115" s="588">
        <f>K116</f>
        <v>0</v>
      </c>
      <c r="L115" s="588">
        <f>L116</f>
        <v>0</v>
      </c>
      <c r="M115" s="587">
        <f>SUM(F115,C115)</f>
        <v>25703.67</v>
      </c>
      <c r="N115" s="672"/>
    </row>
    <row r="116" spans="1:14" s="582" customFormat="1" ht="63">
      <c r="A116" s="591" t="s">
        <v>655</v>
      </c>
      <c r="B116" s="590" t="s">
        <v>852</v>
      </c>
      <c r="C116" s="587">
        <v>25703.67</v>
      </c>
      <c r="D116" s="606"/>
      <c r="E116" s="606"/>
      <c r="F116" s="587"/>
      <c r="G116" s="606"/>
      <c r="H116" s="606"/>
      <c r="I116" s="606"/>
      <c r="J116" s="606"/>
      <c r="K116" s="606"/>
      <c r="L116" s="606"/>
      <c r="M116" s="587">
        <f>SUM(F116,C116)</f>
        <v>25703.67</v>
      </c>
      <c r="N116" s="672"/>
    </row>
    <row r="117" spans="1:14" s="582" customFormat="1" ht="31.5">
      <c r="A117" s="594" t="s">
        <v>24</v>
      </c>
      <c r="B117" s="620" t="s">
        <v>442</v>
      </c>
      <c r="C117" s="592">
        <f>C118+C124</f>
        <v>949191.2799999999</v>
      </c>
      <c r="D117" s="592">
        <f>D118+D124</f>
        <v>0</v>
      </c>
      <c r="E117" s="592">
        <f>E118+E124</f>
        <v>0</v>
      </c>
      <c r="F117" s="592">
        <f>F118+F124</f>
        <v>42072.13</v>
      </c>
      <c r="G117" s="592">
        <f>G118+G124</f>
        <v>0</v>
      </c>
      <c r="H117" s="592">
        <f>H118+H124</f>
        <v>0</v>
      </c>
      <c r="I117" s="592">
        <f>I118+I124</f>
        <v>0</v>
      </c>
      <c r="J117" s="592">
        <f>J118+J124</f>
        <v>42072.13</v>
      </c>
      <c r="K117" s="592">
        <f>K118+K124</f>
        <v>42072.13</v>
      </c>
      <c r="L117" s="592">
        <f>L118+L124</f>
        <v>0</v>
      </c>
      <c r="M117" s="592">
        <f>C117+F117</f>
        <v>991263.4099999999</v>
      </c>
      <c r="N117" s="672"/>
    </row>
    <row r="118" spans="1:14" s="582" customFormat="1" ht="16.5">
      <c r="A118" s="684" t="s">
        <v>851</v>
      </c>
      <c r="B118" s="683" t="s">
        <v>850</v>
      </c>
      <c r="C118" s="588">
        <f>C119+C120+C121+C122+C123</f>
        <v>868766.6799999999</v>
      </c>
      <c r="D118" s="588">
        <f>D119+D120+D121+D122+D123</f>
        <v>0</v>
      </c>
      <c r="E118" s="588">
        <f>E119+E120+E121+E122+E123</f>
        <v>0</v>
      </c>
      <c r="F118" s="588">
        <f>F119+F120+F121+F122+F123</f>
        <v>42072.13</v>
      </c>
      <c r="G118" s="588">
        <f>G119+G120+G121+G122+G123</f>
        <v>0</v>
      </c>
      <c r="H118" s="588">
        <f>H119+H120+H121+H122+H123</f>
        <v>0</v>
      </c>
      <c r="I118" s="588">
        <f>I119+I120+I121+I122+I123</f>
        <v>0</v>
      </c>
      <c r="J118" s="588">
        <f>J119+J120+J121+J122+J123</f>
        <v>42072.13</v>
      </c>
      <c r="K118" s="588">
        <f>K119+K120+K121+K122+K123</f>
        <v>42072.13</v>
      </c>
      <c r="L118" s="588">
        <f>L119+L120+L121+L122+L123</f>
        <v>0</v>
      </c>
      <c r="M118" s="587">
        <f>SUM(F118,C118)</f>
        <v>910838.8099999999</v>
      </c>
      <c r="N118" s="672"/>
    </row>
    <row r="119" spans="1:14" ht="16.5">
      <c r="A119" s="591" t="s">
        <v>441</v>
      </c>
      <c r="B119" s="590" t="s">
        <v>440</v>
      </c>
      <c r="C119" s="587">
        <v>480759.15</v>
      </c>
      <c r="D119" s="628"/>
      <c r="E119" s="628"/>
      <c r="F119" s="587">
        <f>G119+J119</f>
        <v>42072.13</v>
      </c>
      <c r="G119" s="628"/>
      <c r="H119" s="628"/>
      <c r="I119" s="628"/>
      <c r="J119" s="628">
        <v>42072.13</v>
      </c>
      <c r="K119" s="622">
        <v>42072.13</v>
      </c>
      <c r="L119" s="628"/>
      <c r="M119" s="621">
        <f>SUM(F119,C119)</f>
        <v>522831.28</v>
      </c>
      <c r="N119" s="672"/>
    </row>
    <row r="120" spans="1:14" ht="16.5">
      <c r="A120" s="591" t="s">
        <v>653</v>
      </c>
      <c r="B120" s="590" t="s">
        <v>652</v>
      </c>
      <c r="C120" s="587">
        <v>165770.1</v>
      </c>
      <c r="D120" s="628"/>
      <c r="E120" s="628"/>
      <c r="F120" s="587">
        <f>G120+J120</f>
        <v>0</v>
      </c>
      <c r="G120" s="628"/>
      <c r="H120" s="628"/>
      <c r="I120" s="628"/>
      <c r="J120" s="628"/>
      <c r="K120" s="629"/>
      <c r="L120" s="628"/>
      <c r="M120" s="621">
        <f>SUM(F120,C120)</f>
        <v>165770.1</v>
      </c>
      <c r="N120" s="672"/>
    </row>
    <row r="121" spans="1:14" ht="16.5">
      <c r="A121" s="591" t="s">
        <v>651</v>
      </c>
      <c r="B121" s="590" t="s">
        <v>650</v>
      </c>
      <c r="C121" s="587">
        <v>22717.7</v>
      </c>
      <c r="D121" s="628"/>
      <c r="E121" s="628"/>
      <c r="F121" s="587">
        <f>G121+J121</f>
        <v>0</v>
      </c>
      <c r="G121" s="628"/>
      <c r="H121" s="628"/>
      <c r="I121" s="628"/>
      <c r="J121" s="628"/>
      <c r="K121" s="628"/>
      <c r="L121" s="628"/>
      <c r="M121" s="621">
        <f>SUM(F121,C121)</f>
        <v>22717.7</v>
      </c>
      <c r="N121" s="672"/>
    </row>
    <row r="122" spans="1:14" ht="33" customHeight="1">
      <c r="A122" s="591" t="s">
        <v>649</v>
      </c>
      <c r="B122" s="590" t="s">
        <v>648</v>
      </c>
      <c r="C122" s="587">
        <v>70371.1</v>
      </c>
      <c r="D122" s="628"/>
      <c r="E122" s="628"/>
      <c r="F122" s="587">
        <f>G122+J122</f>
        <v>0</v>
      </c>
      <c r="G122" s="628"/>
      <c r="H122" s="628"/>
      <c r="I122" s="628"/>
      <c r="J122" s="628"/>
      <c r="K122" s="628"/>
      <c r="L122" s="628"/>
      <c r="M122" s="621">
        <f>SUM(F122,C122)</f>
        <v>70371.1</v>
      </c>
      <c r="N122" s="672"/>
    </row>
    <row r="123" spans="1:14" ht="31.5">
      <c r="A123" s="591" t="s">
        <v>646</v>
      </c>
      <c r="B123" s="625" t="s">
        <v>645</v>
      </c>
      <c r="C123" s="623">
        <v>129148.63</v>
      </c>
      <c r="D123" s="622"/>
      <c r="E123" s="622"/>
      <c r="F123" s="587">
        <f>G123+J123</f>
        <v>0</v>
      </c>
      <c r="G123" s="623"/>
      <c r="H123" s="623"/>
      <c r="I123" s="623"/>
      <c r="J123" s="623"/>
      <c r="K123" s="623"/>
      <c r="L123" s="623"/>
      <c r="M123" s="621">
        <f>SUM(F123,C123)</f>
        <v>129148.63</v>
      </c>
      <c r="N123" s="672"/>
    </row>
    <row r="124" spans="1:14" ht="31.5">
      <c r="A124" s="684" t="s">
        <v>849</v>
      </c>
      <c r="B124" s="683" t="s">
        <v>848</v>
      </c>
      <c r="C124" s="623">
        <f>C125</f>
        <v>80424.6</v>
      </c>
      <c r="D124" s="622"/>
      <c r="E124" s="622"/>
      <c r="F124" s="587"/>
      <c r="G124" s="623"/>
      <c r="H124" s="623"/>
      <c r="I124" s="623"/>
      <c r="J124" s="623"/>
      <c r="K124" s="623"/>
      <c r="L124" s="623"/>
      <c r="M124" s="621">
        <f>SUM(F124,C124)</f>
        <v>80424.6</v>
      </c>
      <c r="N124" s="672"/>
    </row>
    <row r="125" spans="1:14" ht="16.5">
      <c r="A125" s="700" t="s">
        <v>60</v>
      </c>
      <c r="B125" s="699" t="s">
        <v>847</v>
      </c>
      <c r="C125" s="623">
        <f>C126</f>
        <v>80424.6</v>
      </c>
      <c r="D125" s="622"/>
      <c r="E125" s="622"/>
      <c r="F125" s="587"/>
      <c r="G125" s="623"/>
      <c r="H125" s="623"/>
      <c r="I125" s="623"/>
      <c r="J125" s="623"/>
      <c r="K125" s="623"/>
      <c r="L125" s="623"/>
      <c r="M125" s="621">
        <f>SUM(F125,C125)</f>
        <v>80424.6</v>
      </c>
      <c r="N125" s="672"/>
    </row>
    <row r="126" spans="1:14" ht="47.25">
      <c r="A126" s="591"/>
      <c r="B126" s="590" t="s">
        <v>77</v>
      </c>
      <c r="C126" s="623">
        <v>80424.6</v>
      </c>
      <c r="D126" s="622"/>
      <c r="E126" s="622"/>
      <c r="F126" s="587"/>
      <c r="G126" s="623"/>
      <c r="H126" s="623"/>
      <c r="I126" s="623"/>
      <c r="J126" s="623"/>
      <c r="K126" s="623"/>
      <c r="L126" s="623"/>
      <c r="M126" s="621">
        <f>SUM(F126,C126)</f>
        <v>80424.6</v>
      </c>
      <c r="N126" s="672"/>
    </row>
    <row r="127" spans="1:14" ht="78.75">
      <c r="A127" s="594" t="s">
        <v>19</v>
      </c>
      <c r="B127" s="593" t="s">
        <v>20</v>
      </c>
      <c r="C127" s="610">
        <f>C128</f>
        <v>0</v>
      </c>
      <c r="D127" s="610">
        <f>D128</f>
        <v>0</v>
      </c>
      <c r="E127" s="610">
        <f>E128</f>
        <v>0</v>
      </c>
      <c r="F127" s="610">
        <f>F128</f>
        <v>720000</v>
      </c>
      <c r="G127" s="610">
        <f>G128</f>
        <v>0</v>
      </c>
      <c r="H127" s="610">
        <f>H128</f>
        <v>0</v>
      </c>
      <c r="I127" s="610">
        <f>I128</f>
        <v>0</v>
      </c>
      <c r="J127" s="610">
        <f>J128</f>
        <v>720000</v>
      </c>
      <c r="K127" s="610">
        <f>K128</f>
        <v>720000</v>
      </c>
      <c r="L127" s="610">
        <f>L128</f>
        <v>0</v>
      </c>
      <c r="M127" s="626">
        <f>C127+F127</f>
        <v>720000</v>
      </c>
      <c r="N127" s="672"/>
    </row>
    <row r="128" spans="1:14" ht="31.5">
      <c r="A128" s="694" t="s">
        <v>836</v>
      </c>
      <c r="B128" s="693" t="s">
        <v>835</v>
      </c>
      <c r="C128" s="623">
        <f>C129</f>
        <v>0</v>
      </c>
      <c r="D128" s="623">
        <f>D129</f>
        <v>0</v>
      </c>
      <c r="E128" s="623">
        <f>E129</f>
        <v>0</v>
      </c>
      <c r="F128" s="623">
        <f>F129</f>
        <v>720000</v>
      </c>
      <c r="G128" s="623">
        <f>G129</f>
        <v>0</v>
      </c>
      <c r="H128" s="623">
        <f>H129</f>
        <v>0</v>
      </c>
      <c r="I128" s="623">
        <f>I129</f>
        <v>0</v>
      </c>
      <c r="J128" s="623">
        <f>J129</f>
        <v>720000</v>
      </c>
      <c r="K128" s="623">
        <f>K129</f>
        <v>720000</v>
      </c>
      <c r="L128" s="623">
        <f>L129</f>
        <v>0</v>
      </c>
      <c r="M128" s="621">
        <f>C128+F128</f>
        <v>720000</v>
      </c>
      <c r="N128" s="672"/>
    </row>
    <row r="129" spans="1:14" ht="78" customHeight="1">
      <c r="A129" s="591">
        <v>180409</v>
      </c>
      <c r="B129" s="590" t="s">
        <v>17</v>
      </c>
      <c r="C129" s="623">
        <f>C130</f>
        <v>0</v>
      </c>
      <c r="D129" s="623">
        <f>D130</f>
        <v>0</v>
      </c>
      <c r="E129" s="623">
        <f>E130</f>
        <v>0</v>
      </c>
      <c r="F129" s="623">
        <f>F130</f>
        <v>720000</v>
      </c>
      <c r="G129" s="622">
        <f>G130</f>
        <v>0</v>
      </c>
      <c r="H129" s="622">
        <f>H130</f>
        <v>0</v>
      </c>
      <c r="I129" s="622">
        <f>I130</f>
        <v>0</v>
      </c>
      <c r="J129" s="622">
        <f>J130</f>
        <v>720000</v>
      </c>
      <c r="K129" s="622">
        <f>K130</f>
        <v>720000</v>
      </c>
      <c r="L129" s="622">
        <f>L130</f>
        <v>0</v>
      </c>
      <c r="M129" s="621">
        <f>C129+F129</f>
        <v>720000</v>
      </c>
      <c r="N129" s="672"/>
    </row>
    <row r="130" spans="1:14" ht="47.25">
      <c r="A130" s="591" t="s">
        <v>821</v>
      </c>
      <c r="B130" s="613" t="s">
        <v>846</v>
      </c>
      <c r="C130" s="623">
        <f>C131</f>
        <v>0</v>
      </c>
      <c r="D130" s="623">
        <f>D131</f>
        <v>0</v>
      </c>
      <c r="E130" s="623">
        <f>E131</f>
        <v>0</v>
      </c>
      <c r="F130" s="623">
        <f>F131</f>
        <v>720000</v>
      </c>
      <c r="G130" s="622">
        <f>G131</f>
        <v>0</v>
      </c>
      <c r="H130" s="622">
        <f>H131</f>
        <v>0</v>
      </c>
      <c r="I130" s="622">
        <f>I131</f>
        <v>0</v>
      </c>
      <c r="J130" s="622">
        <f>J131</f>
        <v>720000</v>
      </c>
      <c r="K130" s="622">
        <f>K131</f>
        <v>720000</v>
      </c>
      <c r="L130" s="622">
        <f>L131</f>
        <v>0</v>
      </c>
      <c r="M130" s="621">
        <f>C130+F130</f>
        <v>720000</v>
      </c>
      <c r="N130" s="672"/>
    </row>
    <row r="131" spans="1:14" ht="47.25">
      <c r="A131" s="591"/>
      <c r="B131" s="613" t="s">
        <v>18</v>
      </c>
      <c r="C131" s="623"/>
      <c r="D131" s="622"/>
      <c r="E131" s="622"/>
      <c r="F131" s="587">
        <f>G131+J131</f>
        <v>720000</v>
      </c>
      <c r="G131" s="622"/>
      <c r="H131" s="622"/>
      <c r="I131" s="622"/>
      <c r="J131" s="622">
        <v>720000</v>
      </c>
      <c r="K131" s="622">
        <v>720000</v>
      </c>
      <c r="L131" s="622"/>
      <c r="M131" s="621">
        <f>C131+F131</f>
        <v>720000</v>
      </c>
      <c r="N131" s="672"/>
    </row>
    <row r="132" spans="1:14" s="609" customFormat="1" ht="47.25">
      <c r="A132" s="594" t="s">
        <v>31</v>
      </c>
      <c r="B132" s="593" t="s">
        <v>32</v>
      </c>
      <c r="C132" s="610">
        <f>C134+C137+C140+C141+C142</f>
        <v>0</v>
      </c>
      <c r="D132" s="610">
        <f>D134+D137+D140+D141+D142</f>
        <v>0</v>
      </c>
      <c r="E132" s="610">
        <f>E134+E137+E140+E141+E142</f>
        <v>0</v>
      </c>
      <c r="F132" s="610">
        <f>F134+F137+F140+F141+F142</f>
        <v>60602926.830000006</v>
      </c>
      <c r="G132" s="610">
        <f>G133+G136+G139</f>
        <v>16413947.130000003</v>
      </c>
      <c r="H132" s="610">
        <f>H133+H136+H139</f>
        <v>0</v>
      </c>
      <c r="I132" s="610">
        <f>I133+I136+I139</f>
        <v>0</v>
      </c>
      <c r="J132" s="610">
        <f>J133+J136+J139</f>
        <v>44188979.699999996</v>
      </c>
      <c r="K132" s="610">
        <f>K133+K136+K139</f>
        <v>12228674.459999999</v>
      </c>
      <c r="L132" s="610">
        <f>L133+L136+L139</f>
        <v>0</v>
      </c>
      <c r="M132" s="626">
        <f>SUM(F132,C132)</f>
        <v>60602926.830000006</v>
      </c>
      <c r="N132" s="672"/>
    </row>
    <row r="133" spans="1:17" s="609" customFormat="1" ht="16.5">
      <c r="A133" s="698" t="s">
        <v>845</v>
      </c>
      <c r="B133" s="697" t="s">
        <v>844</v>
      </c>
      <c r="C133" s="605">
        <f>C134</f>
        <v>0</v>
      </c>
      <c r="D133" s="605">
        <f>D134</f>
        <v>0</v>
      </c>
      <c r="E133" s="605">
        <f>E134</f>
        <v>0</v>
      </c>
      <c r="F133" s="605">
        <f>F134</f>
        <v>12228674.459999999</v>
      </c>
      <c r="G133" s="605">
        <f>G134</f>
        <v>0</v>
      </c>
      <c r="H133" s="605">
        <f>H134</f>
        <v>0</v>
      </c>
      <c r="I133" s="605">
        <f>I134</f>
        <v>0</v>
      </c>
      <c r="J133" s="605">
        <f>J134</f>
        <v>12228674.459999999</v>
      </c>
      <c r="K133" s="605">
        <f>K134</f>
        <v>12228674.459999999</v>
      </c>
      <c r="L133" s="605">
        <f>L134</f>
        <v>0</v>
      </c>
      <c r="M133" s="587">
        <f>SUM(F133,C133)</f>
        <v>12228674.459999999</v>
      </c>
      <c r="N133" s="672"/>
      <c r="Q133" s="696"/>
    </row>
    <row r="134" spans="1:14" s="609" customFormat="1" ht="16.5">
      <c r="A134" s="591" t="s">
        <v>642</v>
      </c>
      <c r="B134" s="590" t="s">
        <v>489</v>
      </c>
      <c r="C134" s="587"/>
      <c r="D134" s="605"/>
      <c r="E134" s="605"/>
      <c r="F134" s="588">
        <f>G134+J134</f>
        <v>12228674.459999999</v>
      </c>
      <c r="G134" s="605"/>
      <c r="H134" s="605"/>
      <c r="I134" s="605"/>
      <c r="J134" s="606">
        <f>2821695.9+J135+3112456.52+17999.11</f>
        <v>12228674.459999999</v>
      </c>
      <c r="K134" s="606">
        <f>2821695.9+K135+3112456.52+17999.11</f>
        <v>12228674.459999999</v>
      </c>
      <c r="L134" s="606"/>
      <c r="M134" s="587">
        <f>SUM(F134,C134)</f>
        <v>12228674.459999999</v>
      </c>
      <c r="N134" s="672"/>
    </row>
    <row r="135" spans="1:14" s="609" customFormat="1" ht="96" customHeight="1">
      <c r="A135" s="591"/>
      <c r="B135" s="590" t="s">
        <v>843</v>
      </c>
      <c r="C135" s="587"/>
      <c r="D135" s="605"/>
      <c r="E135" s="605"/>
      <c r="F135" s="588">
        <f>G135+J135</f>
        <v>6276522.93</v>
      </c>
      <c r="G135" s="605"/>
      <c r="H135" s="605"/>
      <c r="I135" s="605"/>
      <c r="J135" s="606">
        <v>6276522.93</v>
      </c>
      <c r="K135" s="606">
        <v>6276522.93</v>
      </c>
      <c r="L135" s="606"/>
      <c r="M135" s="587">
        <f>SUM(F135,C135)</f>
        <v>6276522.93</v>
      </c>
      <c r="N135" s="672"/>
    </row>
    <row r="136" spans="1:14" s="609" customFormat="1" ht="47.25">
      <c r="A136" s="591" t="s">
        <v>842</v>
      </c>
      <c r="B136" s="590" t="s">
        <v>841</v>
      </c>
      <c r="C136" s="587">
        <f>C137</f>
        <v>0</v>
      </c>
      <c r="D136" s="587">
        <f>D137</f>
        <v>0</v>
      </c>
      <c r="E136" s="587">
        <f>E137</f>
        <v>0</v>
      </c>
      <c r="F136" s="587">
        <f>F137</f>
        <v>44201830.93000001</v>
      </c>
      <c r="G136" s="587">
        <f>G137</f>
        <v>16413947.130000003</v>
      </c>
      <c r="H136" s="587">
        <f>H137</f>
        <v>0</v>
      </c>
      <c r="I136" s="587">
        <f>I137</f>
        <v>0</v>
      </c>
      <c r="J136" s="587">
        <f>J137</f>
        <v>27787883.8</v>
      </c>
      <c r="K136" s="587">
        <f>K137</f>
        <v>0</v>
      </c>
      <c r="L136" s="587">
        <f>L137</f>
        <v>0</v>
      </c>
      <c r="M136" s="587">
        <f>SUM(F136,C136)</f>
        <v>44201830.93000001</v>
      </c>
      <c r="N136" s="672"/>
    </row>
    <row r="137" spans="1:14" s="609" customFormat="1" ht="63">
      <c r="A137" s="591">
        <v>170703</v>
      </c>
      <c r="B137" s="590" t="s">
        <v>840</v>
      </c>
      <c r="C137" s="587"/>
      <c r="D137" s="605"/>
      <c r="E137" s="605"/>
      <c r="F137" s="588">
        <f>G137+J137</f>
        <v>44201830.93000001</v>
      </c>
      <c r="G137" s="606">
        <f>3069630.87+G138+6866016.62</f>
        <v>16413947.130000003</v>
      </c>
      <c r="H137" s="605"/>
      <c r="I137" s="605"/>
      <c r="J137" s="606">
        <f>1354094.73+J138+12468000</f>
        <v>27787883.8</v>
      </c>
      <c r="K137" s="606"/>
      <c r="L137" s="605"/>
      <c r="M137" s="587">
        <f>SUM(F137,C137)</f>
        <v>44201830.93000001</v>
      </c>
      <c r="N137" s="672"/>
    </row>
    <row r="138" spans="1:15" s="609" customFormat="1" ht="96" customHeight="1">
      <c r="A138" s="591"/>
      <c r="B138" s="590" t="s">
        <v>839</v>
      </c>
      <c r="C138" s="587"/>
      <c r="D138" s="605"/>
      <c r="E138" s="605"/>
      <c r="F138" s="588">
        <f>G138+J138</f>
        <v>20444088.71</v>
      </c>
      <c r="G138" s="606">
        <f>2687028.1+3791271.54</f>
        <v>6478299.640000001</v>
      </c>
      <c r="H138" s="605"/>
      <c r="I138" s="605"/>
      <c r="J138" s="606">
        <f>8069507.84+5896281.23</f>
        <v>13965789.07</v>
      </c>
      <c r="K138" s="606"/>
      <c r="L138" s="605"/>
      <c r="M138" s="587">
        <f>SUM(F138,C138)</f>
        <v>20444088.71</v>
      </c>
      <c r="N138" s="672"/>
      <c r="O138" s="695"/>
    </row>
    <row r="139" spans="1:14" s="609" customFormat="1" ht="16.5">
      <c r="A139" s="684" t="s">
        <v>838</v>
      </c>
      <c r="B139" s="683" t="s">
        <v>837</v>
      </c>
      <c r="C139" s="617">
        <f>C140+C141+C142</f>
        <v>0</v>
      </c>
      <c r="D139" s="617">
        <f>D140+D141+D142</f>
        <v>0</v>
      </c>
      <c r="E139" s="617">
        <f>E140+E141+E142</f>
        <v>0</v>
      </c>
      <c r="F139" s="587">
        <f>F140+F141+F142</f>
        <v>4172421.44</v>
      </c>
      <c r="G139" s="617">
        <f>G140+G141+G142</f>
        <v>0</v>
      </c>
      <c r="H139" s="617">
        <f>H140+H141+H142</f>
        <v>0</v>
      </c>
      <c r="I139" s="617">
        <f>I140+I141+I142</f>
        <v>0</v>
      </c>
      <c r="J139" s="587">
        <f>J140+J141+J142</f>
        <v>4172421.44</v>
      </c>
      <c r="K139" s="617">
        <f>K140+K141+K142</f>
        <v>0</v>
      </c>
      <c r="L139" s="617">
        <f>L140+L141+L142</f>
        <v>0</v>
      </c>
      <c r="M139" s="587">
        <f>SUM(F139,C139)</f>
        <v>4172421.44</v>
      </c>
      <c r="N139" s="672"/>
    </row>
    <row r="140" spans="1:14" s="609" customFormat="1" ht="36" customHeight="1">
      <c r="A140" s="591">
        <v>240601</v>
      </c>
      <c r="B140" s="590" t="s">
        <v>626</v>
      </c>
      <c r="C140" s="617"/>
      <c r="D140" s="615"/>
      <c r="E140" s="615"/>
      <c r="F140" s="588">
        <f>G140+J140</f>
        <v>2276809.08</v>
      </c>
      <c r="G140" s="616"/>
      <c r="H140" s="615"/>
      <c r="I140" s="615"/>
      <c r="J140" s="606">
        <f>996809.08+1280000</f>
        <v>2276809.08</v>
      </c>
      <c r="K140" s="616"/>
      <c r="L140" s="615"/>
      <c r="M140" s="587">
        <f>SUM(F140,C140)</f>
        <v>2276809.08</v>
      </c>
      <c r="N140" s="672"/>
    </row>
    <row r="141" spans="1:14" s="609" customFormat="1" ht="18" customHeight="1">
      <c r="A141" s="591" t="s">
        <v>624</v>
      </c>
      <c r="B141" s="590" t="s">
        <v>623</v>
      </c>
      <c r="C141" s="617"/>
      <c r="D141" s="615"/>
      <c r="E141" s="615"/>
      <c r="F141" s="588">
        <f>G141+J141</f>
        <v>585000</v>
      </c>
      <c r="G141" s="606"/>
      <c r="H141" s="605"/>
      <c r="I141" s="605"/>
      <c r="J141" s="606">
        <v>585000</v>
      </c>
      <c r="K141" s="616"/>
      <c r="L141" s="615"/>
      <c r="M141" s="587">
        <f>SUM(F141,C141)</f>
        <v>585000</v>
      </c>
      <c r="N141" s="672"/>
    </row>
    <row r="142" spans="1:14" s="609" customFormat="1" ht="48" customHeight="1">
      <c r="A142" s="591" t="s">
        <v>637</v>
      </c>
      <c r="B142" s="590" t="s">
        <v>636</v>
      </c>
      <c r="C142" s="617"/>
      <c r="D142" s="615"/>
      <c r="E142" s="615"/>
      <c r="F142" s="588">
        <f>G142+J142</f>
        <v>1310612.3599999999</v>
      </c>
      <c r="G142" s="606"/>
      <c r="H142" s="605"/>
      <c r="I142" s="605"/>
      <c r="J142" s="606">
        <f>460612.36+850000</f>
        <v>1310612.3599999999</v>
      </c>
      <c r="K142" s="616"/>
      <c r="L142" s="615"/>
      <c r="M142" s="587">
        <f>SUM(F142,C142)</f>
        <v>1310612.3599999999</v>
      </c>
      <c r="N142" s="672"/>
    </row>
    <row r="143" spans="1:14" s="609" customFormat="1" ht="48" customHeight="1">
      <c r="A143" s="594" t="s">
        <v>16</v>
      </c>
      <c r="B143" s="620" t="s">
        <v>437</v>
      </c>
      <c r="C143" s="592">
        <f>C144</f>
        <v>0</v>
      </c>
      <c r="D143" s="592">
        <f>D144</f>
        <v>0</v>
      </c>
      <c r="E143" s="592">
        <f>E144</f>
        <v>0</v>
      </c>
      <c r="F143" s="592">
        <f>F144</f>
        <v>653000</v>
      </c>
      <c r="G143" s="592">
        <f>G144</f>
        <v>0</v>
      </c>
      <c r="H143" s="592">
        <f>H144</f>
        <v>0</v>
      </c>
      <c r="I143" s="592">
        <f>I144</f>
        <v>0</v>
      </c>
      <c r="J143" s="592">
        <f>J144</f>
        <v>653000</v>
      </c>
      <c r="K143" s="592">
        <f>K144</f>
        <v>653000</v>
      </c>
      <c r="L143" s="592">
        <f>L144</f>
        <v>0</v>
      </c>
      <c r="M143" s="592">
        <f>F143+C143</f>
        <v>653000</v>
      </c>
      <c r="N143" s="672"/>
    </row>
    <row r="144" spans="1:14" s="609" customFormat="1" ht="31.5">
      <c r="A144" s="694" t="s">
        <v>836</v>
      </c>
      <c r="B144" s="693" t="s">
        <v>835</v>
      </c>
      <c r="C144" s="587">
        <f>C145</f>
        <v>0</v>
      </c>
      <c r="D144" s="587">
        <f>D145</f>
        <v>0</v>
      </c>
      <c r="E144" s="587">
        <f>E145</f>
        <v>0</v>
      </c>
      <c r="F144" s="587">
        <f>F145</f>
        <v>653000</v>
      </c>
      <c r="G144" s="587">
        <f>G145</f>
        <v>0</v>
      </c>
      <c r="H144" s="587">
        <f>H145</f>
        <v>0</v>
      </c>
      <c r="I144" s="587">
        <f>I145</f>
        <v>0</v>
      </c>
      <c r="J144" s="587">
        <f>J145</f>
        <v>653000</v>
      </c>
      <c r="K144" s="587">
        <f>K145</f>
        <v>653000</v>
      </c>
      <c r="L144" s="587">
        <f>L145</f>
        <v>0</v>
      </c>
      <c r="M144" s="587">
        <f>F144+C144</f>
        <v>653000</v>
      </c>
      <c r="N144" s="672"/>
    </row>
    <row r="145" spans="1:14" s="609" customFormat="1" ht="48" customHeight="1">
      <c r="A145" s="591">
        <v>180409</v>
      </c>
      <c r="B145" s="590" t="s">
        <v>17</v>
      </c>
      <c r="C145" s="587">
        <f>C146+C148</f>
        <v>0</v>
      </c>
      <c r="D145" s="587">
        <f>D146+D148</f>
        <v>0</v>
      </c>
      <c r="E145" s="587">
        <f>E146+E148</f>
        <v>0</v>
      </c>
      <c r="F145" s="587">
        <f>F146+F148</f>
        <v>653000</v>
      </c>
      <c r="G145" s="587">
        <f>G146+G148</f>
        <v>0</v>
      </c>
      <c r="H145" s="587">
        <f>H146+H148</f>
        <v>0</v>
      </c>
      <c r="I145" s="587">
        <f>I146+I148</f>
        <v>0</v>
      </c>
      <c r="J145" s="587">
        <f>J146+J148</f>
        <v>653000</v>
      </c>
      <c r="K145" s="587">
        <f>K146+K148</f>
        <v>653000</v>
      </c>
      <c r="L145" s="587">
        <f>L146+L148</f>
        <v>0</v>
      </c>
      <c r="M145" s="587">
        <f>F145+C145</f>
        <v>653000</v>
      </c>
      <c r="N145" s="672"/>
    </row>
    <row r="146" spans="1:14" s="609" customFormat="1" ht="48" customHeight="1">
      <c r="A146" s="591" t="s">
        <v>821</v>
      </c>
      <c r="B146" s="613" t="s">
        <v>834</v>
      </c>
      <c r="C146" s="617"/>
      <c r="D146" s="615"/>
      <c r="E146" s="615"/>
      <c r="F146" s="588">
        <f>G146+J146</f>
        <v>283000</v>
      </c>
      <c r="G146" s="606"/>
      <c r="H146" s="605"/>
      <c r="I146" s="605"/>
      <c r="J146" s="606">
        <v>283000</v>
      </c>
      <c r="K146" s="606">
        <v>283000</v>
      </c>
      <c r="L146" s="615"/>
      <c r="M146" s="587">
        <f>F146+C146</f>
        <v>283000</v>
      </c>
      <c r="N146" s="672"/>
    </row>
    <row r="147" spans="1:14" s="609" customFormat="1" ht="48" customHeight="1">
      <c r="A147" s="591"/>
      <c r="B147" s="613" t="s">
        <v>18</v>
      </c>
      <c r="C147" s="617"/>
      <c r="D147" s="615"/>
      <c r="E147" s="615"/>
      <c r="F147" s="588">
        <f>G147+J147</f>
        <v>283000</v>
      </c>
      <c r="G147" s="606"/>
      <c r="H147" s="605"/>
      <c r="I147" s="605"/>
      <c r="J147" s="606">
        <v>283000</v>
      </c>
      <c r="K147" s="606">
        <v>283000</v>
      </c>
      <c r="L147" s="615"/>
      <c r="M147" s="587">
        <f>F147+C147</f>
        <v>283000</v>
      </c>
      <c r="N147" s="672"/>
    </row>
    <row r="148" spans="1:14" s="609" customFormat="1" ht="48" customHeight="1">
      <c r="A148" s="591" t="s">
        <v>821</v>
      </c>
      <c r="B148" s="613" t="s">
        <v>833</v>
      </c>
      <c r="C148" s="617"/>
      <c r="D148" s="615"/>
      <c r="E148" s="615"/>
      <c r="F148" s="588">
        <f>F149</f>
        <v>370000</v>
      </c>
      <c r="G148" s="588">
        <f>G149</f>
        <v>0</v>
      </c>
      <c r="H148" s="588">
        <f>H149</f>
        <v>0</v>
      </c>
      <c r="I148" s="588">
        <f>I149</f>
        <v>0</v>
      </c>
      <c r="J148" s="588">
        <f>J149</f>
        <v>370000</v>
      </c>
      <c r="K148" s="588">
        <f>K149</f>
        <v>370000</v>
      </c>
      <c r="L148" s="588">
        <f>L149</f>
        <v>0</v>
      </c>
      <c r="M148" s="587">
        <f>F148+C148</f>
        <v>370000</v>
      </c>
      <c r="N148" s="672"/>
    </row>
    <row r="149" spans="1:14" s="609" customFormat="1" ht="48" customHeight="1">
      <c r="A149" s="591"/>
      <c r="B149" s="613" t="s">
        <v>18</v>
      </c>
      <c r="C149" s="617"/>
      <c r="D149" s="615"/>
      <c r="E149" s="615"/>
      <c r="F149" s="588">
        <f>G149+J149</f>
        <v>370000</v>
      </c>
      <c r="G149" s="606"/>
      <c r="H149" s="605"/>
      <c r="I149" s="605"/>
      <c r="J149" s="606">
        <v>370000</v>
      </c>
      <c r="K149" s="606">
        <v>370000</v>
      </c>
      <c r="L149" s="615"/>
      <c r="M149" s="587">
        <f>F149+C149</f>
        <v>370000</v>
      </c>
      <c r="N149" s="672"/>
    </row>
    <row r="150" spans="1:14" s="609" customFormat="1" ht="36" customHeight="1">
      <c r="A150" s="594" t="s">
        <v>48</v>
      </c>
      <c r="B150" s="620" t="s">
        <v>51</v>
      </c>
      <c r="C150" s="592">
        <f>C152+C153</f>
        <v>0</v>
      </c>
      <c r="D150" s="592">
        <f>D152+D153</f>
        <v>0</v>
      </c>
      <c r="E150" s="592">
        <f>E152+E153</f>
        <v>0</v>
      </c>
      <c r="F150" s="592">
        <f>F151</f>
        <v>379120.62</v>
      </c>
      <c r="G150" s="592">
        <f>G151</f>
        <v>379120.62</v>
      </c>
      <c r="H150" s="592">
        <f>H151</f>
        <v>0</v>
      </c>
      <c r="I150" s="592">
        <f>I151</f>
        <v>0</v>
      </c>
      <c r="J150" s="592">
        <f>J151</f>
        <v>0</v>
      </c>
      <c r="K150" s="592">
        <f>K151</f>
        <v>0</v>
      </c>
      <c r="L150" s="592">
        <f>L151</f>
        <v>0</v>
      </c>
      <c r="M150" s="592">
        <f>SUM(F150,C150)</f>
        <v>379120.62</v>
      </c>
      <c r="N150" s="672"/>
    </row>
    <row r="151" spans="1:14" s="609" customFormat="1" ht="51" customHeight="1">
      <c r="A151" s="684" t="s">
        <v>832</v>
      </c>
      <c r="B151" s="689" t="s">
        <v>831</v>
      </c>
      <c r="C151" s="588">
        <f>C152</f>
        <v>0</v>
      </c>
      <c r="D151" s="588">
        <f>D152</f>
        <v>0</v>
      </c>
      <c r="E151" s="588">
        <f>E152</f>
        <v>0</v>
      </c>
      <c r="F151" s="588">
        <f>F152</f>
        <v>379120.62</v>
      </c>
      <c r="G151" s="589">
        <f>G152</f>
        <v>379120.62</v>
      </c>
      <c r="H151" s="588">
        <f>H152</f>
        <v>0</v>
      </c>
      <c r="I151" s="588">
        <f>I152</f>
        <v>0</v>
      </c>
      <c r="J151" s="588">
        <f>J152</f>
        <v>0</v>
      </c>
      <c r="K151" s="588">
        <f>K152</f>
        <v>0</v>
      </c>
      <c r="L151" s="588">
        <f>L152</f>
        <v>0</v>
      </c>
      <c r="M151" s="587">
        <f>SUM(F151,C151)</f>
        <v>379120.62</v>
      </c>
      <c r="N151" s="672"/>
    </row>
    <row r="152" spans="1:14" s="609" customFormat="1" ht="31.5">
      <c r="A152" s="591" t="s">
        <v>629</v>
      </c>
      <c r="B152" s="613" t="s">
        <v>628</v>
      </c>
      <c r="C152" s="587"/>
      <c r="D152" s="612"/>
      <c r="E152" s="612"/>
      <c r="F152" s="587">
        <f>G152+J152</f>
        <v>379120.62</v>
      </c>
      <c r="G152" s="612">
        <v>379120.62</v>
      </c>
      <c r="H152" s="612"/>
      <c r="I152" s="612"/>
      <c r="J152" s="612"/>
      <c r="K152" s="612"/>
      <c r="L152" s="612"/>
      <c r="M152" s="587">
        <f>SUM(F152,C152)</f>
        <v>379120.62</v>
      </c>
      <c r="N152" s="672"/>
    </row>
    <row r="153" spans="1:14" s="609" customFormat="1" ht="48" customHeight="1">
      <c r="A153" s="594" t="s">
        <v>599</v>
      </c>
      <c r="B153" s="620" t="s">
        <v>598</v>
      </c>
      <c r="C153" s="592">
        <f>C154+C158</f>
        <v>0</v>
      </c>
      <c r="D153" s="592">
        <f>D154+D158</f>
        <v>0</v>
      </c>
      <c r="E153" s="592">
        <f>E154+E158</f>
        <v>0</v>
      </c>
      <c r="F153" s="592">
        <f>F154+F158</f>
        <v>1003208</v>
      </c>
      <c r="G153" s="592">
        <f>G154+G158</f>
        <v>281290.45999999996</v>
      </c>
      <c r="H153" s="592">
        <f>H154+H158</f>
        <v>0</v>
      </c>
      <c r="I153" s="592">
        <f>I154+I158</f>
        <v>0</v>
      </c>
      <c r="J153" s="592">
        <f>J154+J158</f>
        <v>721917.54</v>
      </c>
      <c r="K153" s="592">
        <f>K154+K158</f>
        <v>0</v>
      </c>
      <c r="L153" s="592">
        <f>L154+L158</f>
        <v>0</v>
      </c>
      <c r="M153" s="592">
        <f>C153+F153</f>
        <v>1003208</v>
      </c>
      <c r="N153" s="672"/>
    </row>
    <row r="154" spans="1:14" s="609" customFormat="1" ht="16.5">
      <c r="A154" s="692" t="s">
        <v>830</v>
      </c>
      <c r="B154" s="691" t="s">
        <v>829</v>
      </c>
      <c r="C154" s="617">
        <f>C157</f>
        <v>0</v>
      </c>
      <c r="D154" s="617">
        <f>D157</f>
        <v>0</v>
      </c>
      <c r="E154" s="617">
        <f>E157</f>
        <v>0</v>
      </c>
      <c r="F154" s="588">
        <f>F157+F155+F156</f>
        <v>911290.46</v>
      </c>
      <c r="G154" s="605">
        <f>G157+G155+G156</f>
        <v>281290.45999999996</v>
      </c>
      <c r="H154" s="587">
        <f>H157</f>
        <v>0</v>
      </c>
      <c r="I154" s="587">
        <f>I157</f>
        <v>0</v>
      </c>
      <c r="J154" s="587">
        <f>J157+J155+J156</f>
        <v>630000</v>
      </c>
      <c r="K154" s="587">
        <f>K157+K155+K156</f>
        <v>0</v>
      </c>
      <c r="L154" s="587">
        <f>L157+L155+L156</f>
        <v>0</v>
      </c>
      <c r="M154" s="587">
        <f>C154+F154</f>
        <v>911290.46</v>
      </c>
      <c r="N154" s="672"/>
    </row>
    <row r="155" spans="1:14" s="609" customFormat="1" ht="36" customHeight="1">
      <c r="A155" s="591">
        <v>240601</v>
      </c>
      <c r="B155" s="590" t="s">
        <v>626</v>
      </c>
      <c r="C155" s="617"/>
      <c r="D155" s="615"/>
      <c r="E155" s="615"/>
      <c r="F155" s="588">
        <f>G155+J155</f>
        <v>30000</v>
      </c>
      <c r="G155" s="606"/>
      <c r="H155" s="605"/>
      <c r="I155" s="605"/>
      <c r="J155" s="606">
        <v>30000</v>
      </c>
      <c r="K155" s="606"/>
      <c r="L155" s="605"/>
      <c r="M155" s="587">
        <f>SUM(F155,C155)</f>
        <v>30000</v>
      </c>
      <c r="N155" s="672"/>
    </row>
    <row r="156" spans="1:14" s="609" customFormat="1" ht="18" customHeight="1">
      <c r="A156" s="591" t="s">
        <v>624</v>
      </c>
      <c r="B156" s="590" t="s">
        <v>623</v>
      </c>
      <c r="C156" s="617"/>
      <c r="D156" s="615"/>
      <c r="E156" s="615"/>
      <c r="F156" s="588">
        <f>G156+J156</f>
        <v>600000</v>
      </c>
      <c r="G156" s="606"/>
      <c r="H156" s="605"/>
      <c r="I156" s="605"/>
      <c r="J156" s="606">
        <v>600000</v>
      </c>
      <c r="K156" s="606"/>
      <c r="L156" s="605"/>
      <c r="M156" s="587">
        <f>SUM(F156,C156)</f>
        <v>600000</v>
      </c>
      <c r="N156" s="672"/>
    </row>
    <row r="157" spans="1:14" s="609" customFormat="1" ht="48" customHeight="1">
      <c r="A157" s="619" t="s">
        <v>621</v>
      </c>
      <c r="B157" s="618" t="s">
        <v>620</v>
      </c>
      <c r="C157" s="617"/>
      <c r="D157" s="615"/>
      <c r="E157" s="615"/>
      <c r="F157" s="588">
        <f>G157+J157</f>
        <v>281290.45999999996</v>
      </c>
      <c r="G157" s="606">
        <f>32000+199290.46+50000</f>
        <v>281290.45999999996</v>
      </c>
      <c r="H157" s="605"/>
      <c r="I157" s="605"/>
      <c r="J157" s="606"/>
      <c r="K157" s="606"/>
      <c r="L157" s="605"/>
      <c r="M157" s="587">
        <f>C157+F157</f>
        <v>281290.45999999996</v>
      </c>
      <c r="N157" s="672"/>
    </row>
    <row r="158" spans="1:14" s="609" customFormat="1" ht="31.5">
      <c r="A158" s="684" t="s">
        <v>820</v>
      </c>
      <c r="B158" s="690" t="s">
        <v>819</v>
      </c>
      <c r="C158" s="617"/>
      <c r="D158" s="615"/>
      <c r="E158" s="615"/>
      <c r="F158" s="588">
        <f>F159</f>
        <v>91917.54</v>
      </c>
      <c r="G158" s="588">
        <f>G159</f>
        <v>0</v>
      </c>
      <c r="H158" s="588">
        <f>H159</f>
        <v>0</v>
      </c>
      <c r="I158" s="588">
        <f>I159</f>
        <v>0</v>
      </c>
      <c r="J158" s="588">
        <f>J159</f>
        <v>91917.54</v>
      </c>
      <c r="K158" s="588">
        <f>K159</f>
        <v>0</v>
      </c>
      <c r="L158" s="588">
        <f>L159</f>
        <v>0</v>
      </c>
      <c r="M158" s="587">
        <f>C158+F158</f>
        <v>91917.54</v>
      </c>
      <c r="N158" s="672"/>
    </row>
    <row r="159" spans="1:14" s="609" customFormat="1" ht="204.75">
      <c r="A159" s="619" t="s">
        <v>618</v>
      </c>
      <c r="B159" s="618" t="s">
        <v>617</v>
      </c>
      <c r="C159" s="617"/>
      <c r="D159" s="615"/>
      <c r="E159" s="615"/>
      <c r="F159" s="588">
        <f>G159+J159</f>
        <v>91917.54</v>
      </c>
      <c r="G159" s="606"/>
      <c r="H159" s="605"/>
      <c r="I159" s="605"/>
      <c r="J159" s="606">
        <v>91917.54</v>
      </c>
      <c r="K159" s="616"/>
      <c r="L159" s="615"/>
      <c r="M159" s="587">
        <f>C159+F159</f>
        <v>91917.54</v>
      </c>
      <c r="N159" s="672"/>
    </row>
    <row r="160" spans="1:14" s="609" customFormat="1" ht="63">
      <c r="A160" s="594" t="s">
        <v>52</v>
      </c>
      <c r="B160" s="620" t="s">
        <v>53</v>
      </c>
      <c r="C160" s="592">
        <f>C161</f>
        <v>13826.55</v>
      </c>
      <c r="D160" s="592">
        <f>D162</f>
        <v>0</v>
      </c>
      <c r="E160" s="592">
        <f>E162</f>
        <v>0</v>
      </c>
      <c r="F160" s="592">
        <f>F162</f>
        <v>40000</v>
      </c>
      <c r="G160" s="592">
        <f>G162</f>
        <v>0</v>
      </c>
      <c r="H160" s="592">
        <f>H162</f>
        <v>0</v>
      </c>
      <c r="I160" s="592">
        <f>I162</f>
        <v>0</v>
      </c>
      <c r="J160" s="592">
        <f>J162</f>
        <v>40000</v>
      </c>
      <c r="K160" s="592">
        <f>K162</f>
        <v>40000</v>
      </c>
      <c r="L160" s="592">
        <f>L162</f>
        <v>0</v>
      </c>
      <c r="M160" s="592">
        <f>C160+F160</f>
        <v>53826.55</v>
      </c>
      <c r="N160" s="672"/>
    </row>
    <row r="161" spans="1:14" s="609" customFormat="1" ht="47.25">
      <c r="A161" s="684" t="s">
        <v>828</v>
      </c>
      <c r="B161" s="689" t="s">
        <v>827</v>
      </c>
      <c r="C161" s="588">
        <f>C162+C164</f>
        <v>13826.55</v>
      </c>
      <c r="D161" s="588">
        <f>D162+D164</f>
        <v>0</v>
      </c>
      <c r="E161" s="588">
        <f>E162+E164</f>
        <v>0</v>
      </c>
      <c r="F161" s="588">
        <f>F162+F164</f>
        <v>40000</v>
      </c>
      <c r="G161" s="588">
        <f>G162+G164</f>
        <v>0</v>
      </c>
      <c r="H161" s="588">
        <f>H162+H164</f>
        <v>0</v>
      </c>
      <c r="I161" s="588">
        <f>I162+I164</f>
        <v>0</v>
      </c>
      <c r="J161" s="588">
        <f>J162+J164</f>
        <v>40000</v>
      </c>
      <c r="K161" s="588">
        <f>K162+K164</f>
        <v>40000</v>
      </c>
      <c r="L161" s="588">
        <f>L162+L164</f>
        <v>0</v>
      </c>
      <c r="M161" s="587">
        <f>C161+F161</f>
        <v>53826.55</v>
      </c>
      <c r="N161" s="672"/>
    </row>
    <row r="162" spans="1:14" s="609" customFormat="1" ht="48.75" customHeight="1">
      <c r="A162" s="591" t="s">
        <v>54</v>
      </c>
      <c r="B162" s="613" t="s">
        <v>434</v>
      </c>
      <c r="C162" s="605">
        <f>C163</f>
        <v>0</v>
      </c>
      <c r="D162" s="605">
        <f>D163</f>
        <v>0</v>
      </c>
      <c r="E162" s="605">
        <f>E163</f>
        <v>0</v>
      </c>
      <c r="F162" s="605">
        <f>F163</f>
        <v>40000</v>
      </c>
      <c r="G162" s="605">
        <f>G163</f>
        <v>0</v>
      </c>
      <c r="H162" s="605">
        <f>H163</f>
        <v>0</v>
      </c>
      <c r="I162" s="605">
        <f>I163</f>
        <v>0</v>
      </c>
      <c r="J162" s="606">
        <f>J163</f>
        <v>40000</v>
      </c>
      <c r="K162" s="606">
        <f>K163</f>
        <v>40000</v>
      </c>
      <c r="L162" s="605">
        <f>L163</f>
        <v>0</v>
      </c>
      <c r="M162" s="587">
        <f>C162+F162</f>
        <v>40000</v>
      </c>
      <c r="N162" s="672"/>
    </row>
    <row r="163" spans="1:14" s="609" customFormat="1" ht="110.25">
      <c r="A163" s="591" t="s">
        <v>821</v>
      </c>
      <c r="B163" s="613" t="s">
        <v>826</v>
      </c>
      <c r="C163" s="605"/>
      <c r="D163" s="612"/>
      <c r="E163" s="612"/>
      <c r="F163" s="587">
        <f>G163+J163</f>
        <v>40000</v>
      </c>
      <c r="G163" s="612"/>
      <c r="H163" s="612"/>
      <c r="I163" s="612"/>
      <c r="J163" s="612">
        <v>40000</v>
      </c>
      <c r="K163" s="612">
        <v>40000</v>
      </c>
      <c r="L163" s="612"/>
      <c r="M163" s="587">
        <f>C163+F163</f>
        <v>40000</v>
      </c>
      <c r="N163" s="672"/>
    </row>
    <row r="164" spans="1:14" s="609" customFormat="1" ht="31.5">
      <c r="A164" s="591" t="s">
        <v>79</v>
      </c>
      <c r="B164" s="613" t="s">
        <v>80</v>
      </c>
      <c r="C164" s="605">
        <f>C165</f>
        <v>13826.55</v>
      </c>
      <c r="D164" s="612"/>
      <c r="E164" s="612"/>
      <c r="F164" s="587"/>
      <c r="G164" s="612"/>
      <c r="H164" s="612"/>
      <c r="I164" s="612"/>
      <c r="J164" s="612"/>
      <c r="K164" s="612"/>
      <c r="L164" s="612"/>
      <c r="M164" s="587">
        <f>C164+F164</f>
        <v>13826.55</v>
      </c>
      <c r="N164" s="672"/>
    </row>
    <row r="165" spans="1:14" s="609" customFormat="1" ht="63">
      <c r="A165" s="591" t="s">
        <v>821</v>
      </c>
      <c r="B165" s="613" t="s">
        <v>81</v>
      </c>
      <c r="C165" s="605">
        <v>13826.55</v>
      </c>
      <c r="D165" s="612"/>
      <c r="E165" s="612"/>
      <c r="F165" s="587"/>
      <c r="G165" s="612"/>
      <c r="H165" s="612"/>
      <c r="I165" s="612"/>
      <c r="J165" s="612"/>
      <c r="K165" s="612"/>
      <c r="L165" s="612"/>
      <c r="M165" s="587">
        <f>C165+F165</f>
        <v>13826.55</v>
      </c>
      <c r="N165" s="672"/>
    </row>
    <row r="166" spans="1:14" s="609" customFormat="1" ht="47.25">
      <c r="A166" s="594" t="s">
        <v>33</v>
      </c>
      <c r="B166" s="611" t="s">
        <v>34</v>
      </c>
      <c r="C166" s="610">
        <f>C167+C172</f>
        <v>195429.6</v>
      </c>
      <c r="D166" s="610">
        <f>D167+D172</f>
        <v>0</v>
      </c>
      <c r="E166" s="610">
        <f>E167+E172</f>
        <v>0</v>
      </c>
      <c r="F166" s="610">
        <f>F167+F172</f>
        <v>0</v>
      </c>
      <c r="G166" s="610">
        <f>G167+G172</f>
        <v>0</v>
      </c>
      <c r="H166" s="610">
        <f>H167+H172</f>
        <v>0</v>
      </c>
      <c r="I166" s="610">
        <f>I167+I172</f>
        <v>0</v>
      </c>
      <c r="J166" s="610">
        <f>J167+J172</f>
        <v>0</v>
      </c>
      <c r="K166" s="610">
        <f>K167+K172</f>
        <v>0</v>
      </c>
      <c r="L166" s="610">
        <f>L167+L172</f>
        <v>0</v>
      </c>
      <c r="M166" s="610">
        <f>M167+M172</f>
        <v>195429.6</v>
      </c>
      <c r="N166" s="672"/>
    </row>
    <row r="167" spans="1:14" s="609" customFormat="1" ht="31.5">
      <c r="A167" s="684" t="s">
        <v>825</v>
      </c>
      <c r="B167" s="688" t="s">
        <v>824</v>
      </c>
      <c r="C167" s="605">
        <f>C168+C170</f>
        <v>180429.6</v>
      </c>
      <c r="D167" s="605"/>
      <c r="E167" s="605"/>
      <c r="F167" s="605"/>
      <c r="G167" s="605"/>
      <c r="H167" s="605"/>
      <c r="I167" s="605"/>
      <c r="J167" s="605"/>
      <c r="K167" s="605"/>
      <c r="L167" s="605"/>
      <c r="M167" s="587">
        <f>SUM(F167,C167)</f>
        <v>180429.6</v>
      </c>
      <c r="N167" s="672"/>
    </row>
    <row r="168" spans="1:14" s="609" customFormat="1" ht="31.5">
      <c r="A168" s="591" t="s">
        <v>36</v>
      </c>
      <c r="B168" s="590" t="s">
        <v>37</v>
      </c>
      <c r="C168" s="605">
        <f>C169</f>
        <v>134369.6</v>
      </c>
      <c r="D168" s="605"/>
      <c r="E168" s="605"/>
      <c r="F168" s="605"/>
      <c r="G168" s="605"/>
      <c r="H168" s="605"/>
      <c r="I168" s="605"/>
      <c r="J168" s="605"/>
      <c r="K168" s="605"/>
      <c r="L168" s="605"/>
      <c r="M168" s="587">
        <f>SUM(F168,C168)</f>
        <v>134369.6</v>
      </c>
      <c r="N168" s="672"/>
    </row>
    <row r="169" spans="1:14" s="609" customFormat="1" ht="63">
      <c r="A169" s="591" t="s">
        <v>821</v>
      </c>
      <c r="B169" s="590" t="s">
        <v>38</v>
      </c>
      <c r="C169" s="605">
        <v>134369.6</v>
      </c>
      <c r="D169" s="605"/>
      <c r="E169" s="605"/>
      <c r="F169" s="605"/>
      <c r="G169" s="605"/>
      <c r="H169" s="605"/>
      <c r="I169" s="605"/>
      <c r="J169" s="605"/>
      <c r="K169" s="605"/>
      <c r="L169" s="605"/>
      <c r="M169" s="587">
        <f>SUM(F169,C169)</f>
        <v>134369.6</v>
      </c>
      <c r="N169" s="672"/>
    </row>
    <row r="170" spans="1:14" s="609" customFormat="1" ht="31.5">
      <c r="A170" s="619" t="s">
        <v>39</v>
      </c>
      <c r="B170" s="590" t="s">
        <v>40</v>
      </c>
      <c r="C170" s="605">
        <f>C171</f>
        <v>46060</v>
      </c>
      <c r="D170" s="605"/>
      <c r="E170" s="605"/>
      <c r="F170" s="605"/>
      <c r="G170" s="605"/>
      <c r="H170" s="605"/>
      <c r="I170" s="605"/>
      <c r="J170" s="605"/>
      <c r="K170" s="605"/>
      <c r="L170" s="605"/>
      <c r="M170" s="587">
        <f>SUM(F170,C170)</f>
        <v>46060</v>
      </c>
      <c r="N170" s="672"/>
    </row>
    <row r="171" spans="1:14" s="609" customFormat="1" ht="47.25">
      <c r="A171" s="619" t="s">
        <v>821</v>
      </c>
      <c r="B171" s="590" t="s">
        <v>41</v>
      </c>
      <c r="C171" s="605">
        <v>46060</v>
      </c>
      <c r="D171" s="605"/>
      <c r="E171" s="605"/>
      <c r="F171" s="605"/>
      <c r="G171" s="605"/>
      <c r="H171" s="605"/>
      <c r="I171" s="605"/>
      <c r="J171" s="605"/>
      <c r="K171" s="605"/>
      <c r="L171" s="605"/>
      <c r="M171" s="587">
        <f>SUM(F171,C171)</f>
        <v>46060</v>
      </c>
      <c r="N171" s="672"/>
    </row>
    <row r="172" spans="1:14" ht="31.5">
      <c r="A172" s="684" t="s">
        <v>820</v>
      </c>
      <c r="B172" s="683" t="s">
        <v>819</v>
      </c>
      <c r="C172" s="605">
        <f>C173</f>
        <v>15000</v>
      </c>
      <c r="D172" s="606"/>
      <c r="E172" s="606"/>
      <c r="F172" s="605"/>
      <c r="G172" s="604"/>
      <c r="H172" s="604"/>
      <c r="I172" s="604"/>
      <c r="J172" s="604"/>
      <c r="K172" s="604"/>
      <c r="L172" s="604"/>
      <c r="M172" s="587">
        <f>SUM(F172,C172)</f>
        <v>15000</v>
      </c>
      <c r="N172" s="672"/>
    </row>
    <row r="173" spans="1:14" ht="16.5">
      <c r="A173" s="643" t="s">
        <v>823</v>
      </c>
      <c r="B173" s="638" t="s">
        <v>822</v>
      </c>
      <c r="C173" s="607">
        <f>C174</f>
        <v>15000</v>
      </c>
      <c r="D173" s="606"/>
      <c r="E173" s="606"/>
      <c r="F173" s="605"/>
      <c r="G173" s="604"/>
      <c r="H173" s="604"/>
      <c r="I173" s="604"/>
      <c r="J173" s="604"/>
      <c r="K173" s="604"/>
      <c r="L173" s="604"/>
      <c r="M173" s="587">
        <f>SUM(F173,C173)</f>
        <v>15000</v>
      </c>
      <c r="N173" s="672"/>
    </row>
    <row r="174" spans="1:14" ht="97.5" customHeight="1">
      <c r="A174" s="687" t="s">
        <v>821</v>
      </c>
      <c r="B174" s="614" t="s">
        <v>35</v>
      </c>
      <c r="C174" s="607">
        <v>15000</v>
      </c>
      <c r="D174" s="606"/>
      <c r="E174" s="606"/>
      <c r="F174" s="605"/>
      <c r="G174" s="604"/>
      <c r="H174" s="604"/>
      <c r="I174" s="604"/>
      <c r="J174" s="604"/>
      <c r="K174" s="604"/>
      <c r="L174" s="604"/>
      <c r="M174" s="587">
        <f>SUM(F174,C174)</f>
        <v>15000</v>
      </c>
      <c r="N174" s="672"/>
    </row>
    <row r="175" spans="1:14" s="582" customFormat="1" ht="18.75">
      <c r="A175" s="686"/>
      <c r="B175" s="685" t="s">
        <v>608</v>
      </c>
      <c r="C175" s="600">
        <f>C12+C17+C21+C27+C31+C61+C74+C99+C114+C117+C127+C132+C143+C153+C160+C166+C150</f>
        <v>12268611.83</v>
      </c>
      <c r="D175" s="600">
        <f>D12+D17+D21+D27+D31+D61+D74+D99+D114+D117+D127+D132+D143+D153+D160+D166+D150</f>
        <v>0</v>
      </c>
      <c r="E175" s="600">
        <f>E12+E17+E21+E27+E31+E61+E74+E99+E114+E117+E127+E132+E143+E153+E160+E166+E150</f>
        <v>0</v>
      </c>
      <c r="F175" s="600">
        <f>F12+F17+F21+F27+F31+F61+F74+F99+F114+F117+F127+F132+F143+F153+F160+F166+F150</f>
        <v>69429417.9</v>
      </c>
      <c r="G175" s="600">
        <f>G12+G17+G21+G27+G31+G61+G74+G99+G114+G117+G127+G132+G143+G153+G160+G166+G150</f>
        <v>17114258.210000005</v>
      </c>
      <c r="H175" s="600">
        <f>H12+H17+H21+H27+H31+H61+H74+H99+H114+H117+H127+H132+H143+H153+H160+H166+H150</f>
        <v>0</v>
      </c>
      <c r="I175" s="600">
        <f>I12+I17+I21+I27+I31+I61+I74+I99+I114+I117+I127+I132+I143+I153+I160+I166+I150</f>
        <v>0</v>
      </c>
      <c r="J175" s="600">
        <f>J12+J17+J21+J27+J31+J61+J74+J99+J114+J117+J127+J132+J143+J153+J160+J166+J150</f>
        <v>52315159.69</v>
      </c>
      <c r="K175" s="600">
        <f>K12+K17+K21+K27+K31+K61+K74+K99+K114+K117+K127+K132+K143+K153+K160+K166+K150</f>
        <v>19632936.91</v>
      </c>
      <c r="L175" s="600">
        <f>L12+L17+L21+L27+L31+L61+L74+L99+L114+L117+L127+L132+L143+L153+L160+L166+L150</f>
        <v>0</v>
      </c>
      <c r="M175" s="600">
        <f>M12+M17+M21+M27+M31+M61+M74+M99+M114+M117+M127+M132+M143+M153+M160+M166+M150</f>
        <v>81698029.73</v>
      </c>
      <c r="N175" s="672"/>
    </row>
    <row r="176" spans="1:14" s="582" customFormat="1" ht="16.5">
      <c r="A176" s="686"/>
      <c r="B176" s="685" t="s">
        <v>587</v>
      </c>
      <c r="C176" s="592">
        <f>C177+C181+C185+C188</f>
        <v>223077.07</v>
      </c>
      <c r="D176" s="592">
        <f>D177+D181+D185+D188</f>
        <v>0</v>
      </c>
      <c r="E176" s="592">
        <f>E177+E181+E185+E188</f>
        <v>0</v>
      </c>
      <c r="F176" s="592">
        <f>F177+F181+F185+F188</f>
        <v>1061572.8</v>
      </c>
      <c r="G176" s="592">
        <f>G177+G181+G185+G188</f>
        <v>300000</v>
      </c>
      <c r="H176" s="592">
        <f>H177+H181+H185+H188</f>
        <v>0</v>
      </c>
      <c r="I176" s="592">
        <f>I177+I181+I185+I188</f>
        <v>0</v>
      </c>
      <c r="J176" s="592">
        <f>J177+J181+J185+J188</f>
        <v>761572.8</v>
      </c>
      <c r="K176" s="592">
        <f>K177+K181+K185+K188</f>
        <v>761572.8</v>
      </c>
      <c r="L176" s="592">
        <f>L177+L181+L185+L188</f>
        <v>0</v>
      </c>
      <c r="M176" s="592">
        <f>M177+M181+M185+M188</f>
        <v>1284649.87</v>
      </c>
      <c r="N176" s="672"/>
    </row>
    <row r="177" spans="1:14" s="582" customFormat="1" ht="78.75">
      <c r="A177" s="594" t="s">
        <v>19</v>
      </c>
      <c r="B177" s="593" t="s">
        <v>20</v>
      </c>
      <c r="C177" s="592">
        <f>C178</f>
        <v>39160.46</v>
      </c>
      <c r="D177" s="592">
        <f>D178</f>
        <v>0</v>
      </c>
      <c r="E177" s="592">
        <f>E178</f>
        <v>0</v>
      </c>
      <c r="F177" s="592">
        <f>F178</f>
        <v>34714.8</v>
      </c>
      <c r="G177" s="592">
        <f>G178</f>
        <v>0</v>
      </c>
      <c r="H177" s="592">
        <f>H178</f>
        <v>0</v>
      </c>
      <c r="I177" s="592">
        <f>I178</f>
        <v>0</v>
      </c>
      <c r="J177" s="592">
        <f>J178</f>
        <v>34714.8</v>
      </c>
      <c r="K177" s="592">
        <f>K178</f>
        <v>34714.8</v>
      </c>
      <c r="L177" s="592">
        <f>L178</f>
        <v>0</v>
      </c>
      <c r="M177" s="592">
        <f>C177+F177</f>
        <v>73875.26000000001</v>
      </c>
      <c r="N177" s="672"/>
    </row>
    <row r="178" spans="1:14" s="582" customFormat="1" ht="31.5">
      <c r="A178" s="684" t="s">
        <v>820</v>
      </c>
      <c r="B178" s="683" t="s">
        <v>819</v>
      </c>
      <c r="C178" s="588">
        <f>C179+C180</f>
        <v>39160.46</v>
      </c>
      <c r="D178" s="588">
        <f>D179+D180</f>
        <v>0</v>
      </c>
      <c r="E178" s="588">
        <f>E179+E180</f>
        <v>0</v>
      </c>
      <c r="F178" s="588">
        <f>F179+F180</f>
        <v>34714.8</v>
      </c>
      <c r="G178" s="588">
        <f>G179+G180</f>
        <v>0</v>
      </c>
      <c r="H178" s="588">
        <f>H179+H180</f>
        <v>0</v>
      </c>
      <c r="I178" s="588">
        <f>I179+I180</f>
        <v>0</v>
      </c>
      <c r="J178" s="588">
        <f>J179+J180</f>
        <v>34714.8</v>
      </c>
      <c r="K178" s="588">
        <f>K179+K180</f>
        <v>34714.8</v>
      </c>
      <c r="L178" s="588">
        <f>L179+L180</f>
        <v>0</v>
      </c>
      <c r="M178" s="588">
        <f>C178+F178</f>
        <v>73875.26000000001</v>
      </c>
      <c r="N178" s="672"/>
    </row>
    <row r="179" spans="1:14" s="582" customFormat="1" ht="78.75">
      <c r="A179" s="591" t="s">
        <v>21</v>
      </c>
      <c r="B179" s="590" t="s">
        <v>438</v>
      </c>
      <c r="C179" s="588"/>
      <c r="D179" s="588"/>
      <c r="E179" s="588"/>
      <c r="F179" s="588">
        <f>G179+J179</f>
        <v>34714.8</v>
      </c>
      <c r="G179" s="588"/>
      <c r="H179" s="588"/>
      <c r="I179" s="588"/>
      <c r="J179" s="589">
        <v>34714.8</v>
      </c>
      <c r="K179" s="589">
        <v>34714.8</v>
      </c>
      <c r="L179" s="588"/>
      <c r="M179" s="588">
        <f>C179+F179</f>
        <v>34714.8</v>
      </c>
      <c r="N179" s="672"/>
    </row>
    <row r="180" spans="1:14" s="582" customFormat="1" ht="65.25" customHeight="1">
      <c r="A180" s="591" t="s">
        <v>21</v>
      </c>
      <c r="B180" s="590" t="s">
        <v>604</v>
      </c>
      <c r="C180" s="588">
        <v>39160.46</v>
      </c>
      <c r="D180" s="588"/>
      <c r="E180" s="588"/>
      <c r="F180" s="588"/>
      <c r="G180" s="588"/>
      <c r="H180" s="588"/>
      <c r="I180" s="588"/>
      <c r="J180" s="588"/>
      <c r="K180" s="588"/>
      <c r="L180" s="588"/>
      <c r="M180" s="588">
        <f>C180+F180</f>
        <v>39160.46</v>
      </c>
      <c r="N180" s="672"/>
    </row>
    <row r="181" spans="1:14" s="582" customFormat="1" ht="47.25">
      <c r="A181" s="594" t="s">
        <v>31</v>
      </c>
      <c r="B181" s="593" t="s">
        <v>32</v>
      </c>
      <c r="C181" s="592">
        <f>C182</f>
        <v>61845.61</v>
      </c>
      <c r="D181" s="592">
        <f>D182</f>
        <v>0</v>
      </c>
      <c r="E181" s="592">
        <f>E182</f>
        <v>0</v>
      </c>
      <c r="F181" s="592">
        <f>F182</f>
        <v>170000</v>
      </c>
      <c r="G181" s="592">
        <f>G182</f>
        <v>0</v>
      </c>
      <c r="H181" s="592">
        <f>H182</f>
        <v>0</v>
      </c>
      <c r="I181" s="592">
        <f>I182</f>
        <v>0</v>
      </c>
      <c r="J181" s="592">
        <f>J182</f>
        <v>170000</v>
      </c>
      <c r="K181" s="592">
        <f>K182</f>
        <v>170000</v>
      </c>
      <c r="L181" s="592">
        <f>L182</f>
        <v>0</v>
      </c>
      <c r="M181" s="592">
        <f>M182</f>
        <v>231845.61</v>
      </c>
      <c r="N181" s="672"/>
    </row>
    <row r="182" spans="1:14" s="582" customFormat="1" ht="31.5">
      <c r="A182" s="684" t="s">
        <v>820</v>
      </c>
      <c r="B182" s="683" t="s">
        <v>819</v>
      </c>
      <c r="C182" s="588">
        <f>C183+C184</f>
        <v>61845.61</v>
      </c>
      <c r="D182" s="588">
        <f>D183+D184</f>
        <v>0</v>
      </c>
      <c r="E182" s="588">
        <f>E183+E184</f>
        <v>0</v>
      </c>
      <c r="F182" s="588">
        <f>F183+F184</f>
        <v>170000</v>
      </c>
      <c r="G182" s="588">
        <f>G183+G184</f>
        <v>0</v>
      </c>
      <c r="H182" s="588">
        <f>H183+H184</f>
        <v>0</v>
      </c>
      <c r="I182" s="588">
        <f>I183+I184</f>
        <v>0</v>
      </c>
      <c r="J182" s="588">
        <f>J183+J184</f>
        <v>170000</v>
      </c>
      <c r="K182" s="588">
        <f>K183+K184</f>
        <v>170000</v>
      </c>
      <c r="L182" s="588">
        <f>L183+L184</f>
        <v>0</v>
      </c>
      <c r="M182" s="588">
        <f>F182+C182</f>
        <v>231845.61</v>
      </c>
      <c r="N182" s="672"/>
    </row>
    <row r="183" spans="1:14" s="582" customFormat="1" ht="95.25" customHeight="1">
      <c r="A183" s="591" t="s">
        <v>21</v>
      </c>
      <c r="B183" s="590" t="s">
        <v>487</v>
      </c>
      <c r="C183" s="588"/>
      <c r="D183" s="588"/>
      <c r="E183" s="588"/>
      <c r="F183" s="588">
        <f>G183+J183</f>
        <v>170000</v>
      </c>
      <c r="G183" s="589"/>
      <c r="H183" s="589"/>
      <c r="I183" s="589"/>
      <c r="J183" s="589">
        <v>170000</v>
      </c>
      <c r="K183" s="589">
        <v>170000</v>
      </c>
      <c r="L183" s="588"/>
      <c r="M183" s="588">
        <f>F183+C183</f>
        <v>170000</v>
      </c>
      <c r="N183" s="672"/>
    </row>
    <row r="184" spans="1:14" s="582" customFormat="1" ht="94.5">
      <c r="A184" s="591" t="s">
        <v>21</v>
      </c>
      <c r="B184" s="590" t="s">
        <v>602</v>
      </c>
      <c r="C184" s="588">
        <v>61845.61</v>
      </c>
      <c r="D184" s="588"/>
      <c r="E184" s="588"/>
      <c r="F184" s="588">
        <f>G184+J184</f>
        <v>0</v>
      </c>
      <c r="G184" s="588"/>
      <c r="H184" s="588"/>
      <c r="I184" s="588"/>
      <c r="J184" s="589"/>
      <c r="K184" s="589"/>
      <c r="L184" s="588"/>
      <c r="M184" s="588">
        <f>F184+C184</f>
        <v>61845.61</v>
      </c>
      <c r="N184" s="672"/>
    </row>
    <row r="185" spans="1:14" s="582" customFormat="1" ht="47.25">
      <c r="A185" s="594" t="s">
        <v>599</v>
      </c>
      <c r="B185" s="593" t="s">
        <v>598</v>
      </c>
      <c r="C185" s="592">
        <f>C186</f>
        <v>0</v>
      </c>
      <c r="D185" s="592">
        <f>D186</f>
        <v>0</v>
      </c>
      <c r="E185" s="592">
        <f>E186</f>
        <v>0</v>
      </c>
      <c r="F185" s="592">
        <f>F186</f>
        <v>300000</v>
      </c>
      <c r="G185" s="592">
        <f>G186</f>
        <v>300000</v>
      </c>
      <c r="H185" s="592">
        <f>H186</f>
        <v>0</v>
      </c>
      <c r="I185" s="592">
        <f>I186</f>
        <v>0</v>
      </c>
      <c r="J185" s="592">
        <f>J186</f>
        <v>0</v>
      </c>
      <c r="K185" s="592">
        <f>K186</f>
        <v>0</v>
      </c>
      <c r="L185" s="592">
        <f>L186</f>
        <v>0</v>
      </c>
      <c r="M185" s="592">
        <f>C185+F185</f>
        <v>300000</v>
      </c>
      <c r="N185" s="672"/>
    </row>
    <row r="186" spans="1:14" s="582" customFormat="1" ht="31.5">
      <c r="A186" s="684" t="s">
        <v>820</v>
      </c>
      <c r="B186" s="683" t="s">
        <v>819</v>
      </c>
      <c r="C186" s="588">
        <f>C187</f>
        <v>0</v>
      </c>
      <c r="D186" s="588">
        <f>D187</f>
        <v>0</v>
      </c>
      <c r="E186" s="588">
        <f>E187</f>
        <v>0</v>
      </c>
      <c r="F186" s="588">
        <f>F187</f>
        <v>300000</v>
      </c>
      <c r="G186" s="588">
        <f>G187</f>
        <v>300000</v>
      </c>
      <c r="H186" s="588">
        <f>H187</f>
        <v>0</v>
      </c>
      <c r="I186" s="588">
        <f>I187</f>
        <v>0</v>
      </c>
      <c r="J186" s="588">
        <f>J187</f>
        <v>0</v>
      </c>
      <c r="K186" s="588">
        <f>K187</f>
        <v>0</v>
      </c>
      <c r="L186" s="588">
        <f>L187</f>
        <v>0</v>
      </c>
      <c r="M186" s="588">
        <f>C186+F186</f>
        <v>300000</v>
      </c>
      <c r="N186" s="672"/>
    </row>
    <row r="187" spans="1:14" s="582" customFormat="1" ht="94.5">
      <c r="A187" s="591" t="s">
        <v>21</v>
      </c>
      <c r="B187" s="590" t="s">
        <v>596</v>
      </c>
      <c r="C187" s="595"/>
      <c r="D187" s="588"/>
      <c r="E187" s="588"/>
      <c r="F187" s="588">
        <f>G187+J187</f>
        <v>300000</v>
      </c>
      <c r="G187" s="589">
        <v>300000</v>
      </c>
      <c r="H187" s="588"/>
      <c r="I187" s="588"/>
      <c r="J187" s="589"/>
      <c r="K187" s="589"/>
      <c r="L187" s="589"/>
      <c r="M187" s="588">
        <f>C187+F187</f>
        <v>300000</v>
      </c>
      <c r="N187" s="672"/>
    </row>
    <row r="188" spans="1:14" s="582" customFormat="1" ht="47.25">
      <c r="A188" s="594" t="s">
        <v>33</v>
      </c>
      <c r="B188" s="593" t="s">
        <v>34</v>
      </c>
      <c r="C188" s="592">
        <f>C190</f>
        <v>122071</v>
      </c>
      <c r="D188" s="592">
        <f>D190</f>
        <v>0</v>
      </c>
      <c r="E188" s="592">
        <f>E190</f>
        <v>0</v>
      </c>
      <c r="F188" s="592">
        <f>F190</f>
        <v>556858</v>
      </c>
      <c r="G188" s="592">
        <f>G190</f>
        <v>0</v>
      </c>
      <c r="H188" s="592">
        <f>H190</f>
        <v>0</v>
      </c>
      <c r="I188" s="592">
        <f>I190</f>
        <v>0</v>
      </c>
      <c r="J188" s="592">
        <f>J190</f>
        <v>556858</v>
      </c>
      <c r="K188" s="592">
        <f>K190</f>
        <v>556858</v>
      </c>
      <c r="L188" s="592">
        <f>L190</f>
        <v>0</v>
      </c>
      <c r="M188" s="592">
        <f>C188+F188</f>
        <v>678929</v>
      </c>
      <c r="N188" s="672"/>
    </row>
    <row r="189" spans="1:14" s="582" customFormat="1" ht="31.5">
      <c r="A189" s="684" t="s">
        <v>820</v>
      </c>
      <c r="B189" s="683" t="s">
        <v>819</v>
      </c>
      <c r="C189" s="588">
        <f>C190</f>
        <v>122071</v>
      </c>
      <c r="D189" s="588">
        <f>D190</f>
        <v>0</v>
      </c>
      <c r="E189" s="588">
        <f>E190</f>
        <v>0</v>
      </c>
      <c r="F189" s="588">
        <f>F190</f>
        <v>556858</v>
      </c>
      <c r="G189" s="588">
        <f>G190</f>
        <v>0</v>
      </c>
      <c r="H189" s="588">
        <f>H190</f>
        <v>0</v>
      </c>
      <c r="I189" s="588">
        <f>I190</f>
        <v>0</v>
      </c>
      <c r="J189" s="588">
        <f>J190</f>
        <v>556858</v>
      </c>
      <c r="K189" s="588">
        <f>K190</f>
        <v>556858</v>
      </c>
      <c r="L189" s="588">
        <f>L190</f>
        <v>0</v>
      </c>
      <c r="M189" s="588">
        <f>C189+F189</f>
        <v>678929</v>
      </c>
      <c r="N189" s="672"/>
    </row>
    <row r="190" spans="1:14" s="582" customFormat="1" ht="130.5" customHeight="1">
      <c r="A190" s="591" t="s">
        <v>21</v>
      </c>
      <c r="B190" s="590" t="s">
        <v>433</v>
      </c>
      <c r="C190" s="588">
        <v>122071</v>
      </c>
      <c r="D190" s="588"/>
      <c r="E190" s="588"/>
      <c r="F190" s="588">
        <f>G190+J190</f>
        <v>556858</v>
      </c>
      <c r="G190" s="588"/>
      <c r="H190" s="588"/>
      <c r="I190" s="588"/>
      <c r="J190" s="589">
        <f>490058+66800</f>
        <v>556858</v>
      </c>
      <c r="K190" s="589">
        <f>490058+66800</f>
        <v>556858</v>
      </c>
      <c r="L190" s="588"/>
      <c r="M190" s="588">
        <f>C190+F190</f>
        <v>678929</v>
      </c>
      <c r="N190" s="672"/>
    </row>
    <row r="191" spans="1:14" s="582" customFormat="1" ht="19.5">
      <c r="A191" s="585"/>
      <c r="B191" s="584" t="s">
        <v>533</v>
      </c>
      <c r="C191" s="583">
        <f>C175+C176</f>
        <v>12491688.9</v>
      </c>
      <c r="D191" s="583">
        <f>D175+D176</f>
        <v>0</v>
      </c>
      <c r="E191" s="583">
        <f>E175+E176</f>
        <v>0</v>
      </c>
      <c r="F191" s="583">
        <f>F175+F176</f>
        <v>70490990.7</v>
      </c>
      <c r="G191" s="583">
        <f>G175+G176</f>
        <v>17414258.210000005</v>
      </c>
      <c r="H191" s="583">
        <f>H175+H176</f>
        <v>0</v>
      </c>
      <c r="I191" s="583">
        <f>I175+I176</f>
        <v>0</v>
      </c>
      <c r="J191" s="583">
        <f>J175+J176</f>
        <v>53076732.489999995</v>
      </c>
      <c r="K191" s="583">
        <f>K175+K176</f>
        <v>20394509.71</v>
      </c>
      <c r="L191" s="583">
        <f>L175+L176</f>
        <v>0</v>
      </c>
      <c r="M191" s="583">
        <f>M175+M176</f>
        <v>82982679.60000001</v>
      </c>
      <c r="N191" s="672"/>
    </row>
    <row r="192" spans="1:14" ht="13.5" customHeight="1">
      <c r="A192" s="581"/>
      <c r="C192" s="569"/>
      <c r="D192" s="570"/>
      <c r="E192" s="570"/>
      <c r="F192" s="571"/>
      <c r="G192" s="570"/>
      <c r="H192" s="570"/>
      <c r="I192" s="570"/>
      <c r="J192" s="570"/>
      <c r="K192" s="570"/>
      <c r="L192" s="570"/>
      <c r="M192" s="569"/>
      <c r="N192" s="672"/>
    </row>
    <row r="193" spans="1:14" ht="16.5" customHeight="1">
      <c r="A193" s="563"/>
      <c r="B193" s="580"/>
      <c r="C193" s="569"/>
      <c r="D193" s="570"/>
      <c r="E193" s="570"/>
      <c r="F193" s="571"/>
      <c r="G193" s="570"/>
      <c r="H193" s="570"/>
      <c r="I193" s="579"/>
      <c r="J193" s="570"/>
      <c r="K193" s="570"/>
      <c r="L193" s="570"/>
      <c r="M193" s="578"/>
      <c r="N193" s="672"/>
    </row>
    <row r="194" spans="1:14" ht="37.5" customHeight="1">
      <c r="A194" s="577"/>
      <c r="B194" s="576" t="s">
        <v>122</v>
      </c>
      <c r="C194" s="576"/>
      <c r="D194" s="576"/>
      <c r="F194" s="575"/>
      <c r="G194" s="574"/>
      <c r="H194" s="574"/>
      <c r="K194" s="573" t="s">
        <v>70</v>
      </c>
      <c r="L194" s="573"/>
      <c r="M194" s="569"/>
      <c r="N194" s="672"/>
    </row>
    <row r="195" spans="1:14" ht="15.75">
      <c r="A195" s="572"/>
      <c r="C195" s="569"/>
      <c r="D195" s="570"/>
      <c r="E195" s="570"/>
      <c r="F195" s="571"/>
      <c r="G195" s="570"/>
      <c r="H195" s="570"/>
      <c r="I195" s="570"/>
      <c r="J195" s="570"/>
      <c r="K195" s="570"/>
      <c r="L195" s="570"/>
      <c r="M195" s="569"/>
      <c r="N195" s="672"/>
    </row>
    <row r="196" spans="1:14" ht="15.75">
      <c r="A196" s="563"/>
      <c r="F196" s="682"/>
      <c r="K196" s="681"/>
      <c r="N196" s="672"/>
    </row>
    <row r="197" spans="1:14" ht="15.75">
      <c r="A197" s="563"/>
      <c r="B197" s="680"/>
      <c r="C197" s="568"/>
      <c r="D197" s="568"/>
      <c r="E197" s="568">
        <f>E175-'додаток 1'!E129</f>
        <v>0</v>
      </c>
      <c r="F197" s="568">
        <f>F175-'додаток 1'!F129</f>
        <v>0</v>
      </c>
      <c r="G197" s="568">
        <f>G175-'додаток 1'!G129</f>
        <v>0</v>
      </c>
      <c r="H197" s="568">
        <f>H175-'додаток 1'!H129</f>
        <v>0</v>
      </c>
      <c r="I197" s="568">
        <f>I175-'додаток 1'!I129</f>
        <v>0</v>
      </c>
      <c r="J197" s="568">
        <f>J175-'додаток 1'!J129</f>
        <v>0</v>
      </c>
      <c r="K197" s="568">
        <f>K175-'додаток 1'!K129</f>
        <v>0</v>
      </c>
      <c r="L197" s="568">
        <f>L175-'додаток 1'!L129</f>
        <v>0</v>
      </c>
      <c r="M197" s="568">
        <f>M175-'додаток 1'!M129</f>
        <v>0</v>
      </c>
      <c r="N197" s="672"/>
    </row>
    <row r="198" spans="1:14" ht="15.75">
      <c r="A198" s="563"/>
      <c r="B198" s="680"/>
      <c r="C198" s="567"/>
      <c r="D198" s="567"/>
      <c r="E198" s="567">
        <f>E191-'додаток 1'!E138</f>
        <v>0</v>
      </c>
      <c r="F198" s="567">
        <f>F191-'додаток 1'!F138</f>
        <v>0</v>
      </c>
      <c r="G198" s="567">
        <f>G191-'додаток 1'!G138</f>
        <v>0</v>
      </c>
      <c r="H198" s="567">
        <f>H191-'додаток 1'!H138</f>
        <v>0</v>
      </c>
      <c r="I198" s="567">
        <f>I191-'додаток 1'!I138</f>
        <v>0</v>
      </c>
      <c r="J198" s="567">
        <f>J191-'додаток 1'!J138</f>
        <v>0</v>
      </c>
      <c r="K198" s="567">
        <f>K191-'додаток 1'!K138</f>
        <v>0</v>
      </c>
      <c r="L198" s="567">
        <f>L191-'додаток 1'!L138</f>
        <v>0</v>
      </c>
      <c r="M198" s="567">
        <f>M191-'додаток 1'!M138</f>
        <v>0</v>
      </c>
      <c r="N198" s="673"/>
    </row>
    <row r="199" spans="1:14" ht="15.75">
      <c r="A199" s="563"/>
      <c r="C199" s="679"/>
      <c r="D199" s="567"/>
      <c r="E199" s="567"/>
      <c r="F199" s="567"/>
      <c r="N199" s="672"/>
    </row>
    <row r="200" spans="1:14" ht="15.75">
      <c r="A200" s="563"/>
      <c r="C200" s="675"/>
      <c r="D200" s="567"/>
      <c r="E200" s="567"/>
      <c r="F200" s="675"/>
      <c r="N200" s="672"/>
    </row>
    <row r="201" spans="1:14" ht="15.75">
      <c r="A201" s="563"/>
      <c r="C201" s="567"/>
      <c r="D201" s="564"/>
      <c r="E201" s="564"/>
      <c r="F201" s="566"/>
      <c r="N201" s="672"/>
    </row>
    <row r="202" spans="1:14" ht="15.75">
      <c r="A202" s="563"/>
      <c r="C202" s="567"/>
      <c r="D202" s="564"/>
      <c r="E202" s="564"/>
      <c r="F202" s="567"/>
      <c r="N202" s="672"/>
    </row>
    <row r="203" spans="1:14" ht="15.75">
      <c r="A203" s="563"/>
      <c r="C203" s="675"/>
      <c r="F203" s="675"/>
      <c r="N203" s="672"/>
    </row>
    <row r="204" spans="1:14" ht="15.75">
      <c r="A204" s="563"/>
      <c r="C204" s="675"/>
      <c r="F204" s="678"/>
      <c r="G204" s="564"/>
      <c r="H204" s="564"/>
      <c r="I204" s="564"/>
      <c r="J204" s="564"/>
      <c r="K204" s="564"/>
      <c r="L204" s="676"/>
      <c r="M204" s="567"/>
      <c r="N204" s="673"/>
    </row>
    <row r="205" spans="1:14" ht="15.75">
      <c r="A205" s="563"/>
      <c r="C205" s="675"/>
      <c r="F205" s="677"/>
      <c r="G205" s="564"/>
      <c r="H205" s="564"/>
      <c r="I205" s="564"/>
      <c r="J205" s="564"/>
      <c r="K205" s="564"/>
      <c r="L205" s="676"/>
      <c r="M205" s="565"/>
      <c r="N205" s="673"/>
    </row>
    <row r="206" spans="1:14" ht="15.75">
      <c r="A206" s="563"/>
      <c r="C206" s="675"/>
      <c r="G206" s="564"/>
      <c r="H206" s="564"/>
      <c r="I206" s="564"/>
      <c r="J206" s="564"/>
      <c r="K206" s="564"/>
      <c r="L206" s="564"/>
      <c r="M206" s="567"/>
      <c r="N206" s="673"/>
    </row>
    <row r="207" spans="1:14" ht="15.75">
      <c r="A207" s="563"/>
      <c r="C207" s="675"/>
      <c r="G207" s="565"/>
      <c r="H207" s="565"/>
      <c r="I207" s="565"/>
      <c r="J207" s="565"/>
      <c r="K207" s="565"/>
      <c r="L207" s="565"/>
      <c r="M207" s="567"/>
      <c r="N207" s="673"/>
    </row>
    <row r="208" spans="1:14" ht="15.75">
      <c r="A208" s="563"/>
      <c r="C208" s="567"/>
      <c r="D208" s="564"/>
      <c r="E208" s="564"/>
      <c r="F208" s="674"/>
      <c r="G208" s="564"/>
      <c r="H208" s="564"/>
      <c r="I208" s="564"/>
      <c r="J208" s="564"/>
      <c r="K208" s="564"/>
      <c r="L208" s="564"/>
      <c r="M208" s="565"/>
      <c r="N208" s="673"/>
    </row>
    <row r="209" spans="1:14" ht="15.75">
      <c r="A209" s="563"/>
      <c r="C209" s="567"/>
      <c r="D209" s="564"/>
      <c r="E209" s="564"/>
      <c r="F209" s="674"/>
      <c r="G209" s="564"/>
      <c r="H209" s="564"/>
      <c r="I209" s="564"/>
      <c r="J209" s="564"/>
      <c r="K209" s="564"/>
      <c r="L209" s="564"/>
      <c r="M209" s="565"/>
      <c r="N209" s="673"/>
    </row>
    <row r="210" spans="1:14" ht="15.75">
      <c r="A210" s="563"/>
      <c r="C210" s="567"/>
      <c r="D210" s="564"/>
      <c r="E210" s="564"/>
      <c r="F210" s="566"/>
      <c r="N210" s="672"/>
    </row>
    <row r="211" spans="1:14" ht="15.75">
      <c r="A211" s="563"/>
      <c r="N211" s="672"/>
    </row>
    <row r="212" spans="1:14" ht="15.75">
      <c r="A212" s="563"/>
      <c r="N212" s="672"/>
    </row>
    <row r="213" spans="1:14" ht="15.75">
      <c r="A213" s="563"/>
      <c r="N213" s="672"/>
    </row>
    <row r="214" spans="1:14" ht="15.75">
      <c r="A214" s="563"/>
      <c r="N214" s="672"/>
    </row>
    <row r="215" spans="1:14" ht="15.75">
      <c r="A215" s="563"/>
      <c r="N215" s="672"/>
    </row>
    <row r="216" spans="1:14" ht="15.75">
      <c r="A216" s="563"/>
      <c r="N216" s="672"/>
    </row>
    <row r="217" spans="1:14" ht="15.75">
      <c r="A217" s="563"/>
      <c r="N217" s="672"/>
    </row>
    <row r="218" spans="1:14" ht="15.75">
      <c r="A218" s="563"/>
      <c r="N218" s="672"/>
    </row>
    <row r="219" spans="1:14" ht="15.75">
      <c r="A219" s="563"/>
      <c r="N219" s="672"/>
    </row>
    <row r="220" spans="1:14" ht="15.75">
      <c r="A220" s="563"/>
      <c r="N220" s="672"/>
    </row>
    <row r="221" spans="1:14" ht="15.75">
      <c r="A221" s="563"/>
      <c r="N221" s="672"/>
    </row>
    <row r="222" spans="1:14" ht="15.75">
      <c r="A222" s="563"/>
      <c r="N222" s="672"/>
    </row>
    <row r="223" spans="1:14" ht="15.75">
      <c r="A223" s="563"/>
      <c r="N223" s="672"/>
    </row>
    <row r="224" spans="1:14" ht="15.75">
      <c r="A224" s="563"/>
      <c r="N224" s="672"/>
    </row>
    <row r="225" spans="1:14" ht="15.75">
      <c r="A225" s="563"/>
      <c r="N225" s="672"/>
    </row>
    <row r="226" spans="1:14" ht="15.75">
      <c r="A226" s="563"/>
      <c r="N226" s="672"/>
    </row>
    <row r="227" spans="1:14" ht="15.75">
      <c r="A227" s="563"/>
      <c r="N227" s="672"/>
    </row>
    <row r="228" spans="1:14" ht="15.75">
      <c r="A228" s="563"/>
      <c r="N228" s="672"/>
    </row>
    <row r="229" spans="1:14" ht="15.75">
      <c r="A229" s="563"/>
      <c r="N229" s="672"/>
    </row>
    <row r="230" spans="1:14" ht="15.75">
      <c r="A230" s="563"/>
      <c r="N230" s="672"/>
    </row>
    <row r="231" spans="1:14" ht="15.75">
      <c r="A231" s="563"/>
      <c r="N231" s="672"/>
    </row>
    <row r="232" spans="1:14" ht="15.75">
      <c r="A232" s="563"/>
      <c r="N232" s="672"/>
    </row>
    <row r="233" spans="1:14" ht="15.75">
      <c r="A233" s="563"/>
      <c r="N233" s="672"/>
    </row>
    <row r="234" spans="1:14" ht="15.75">
      <c r="A234" s="563"/>
      <c r="N234" s="672"/>
    </row>
    <row r="235" spans="1:14" ht="15.75">
      <c r="A235" s="563"/>
      <c r="N235" s="672"/>
    </row>
    <row r="236" spans="1:14" ht="15.75">
      <c r="A236" s="563"/>
      <c r="N236" s="672"/>
    </row>
    <row r="237" spans="1:14" ht="15.75">
      <c r="A237" s="563"/>
      <c r="N237" s="672"/>
    </row>
    <row r="238" spans="1:14" ht="15.75">
      <c r="A238" s="563"/>
      <c r="N238" s="672"/>
    </row>
    <row r="239" spans="1:14" ht="15.75">
      <c r="A239" s="563"/>
      <c r="N239" s="672"/>
    </row>
    <row r="240" spans="1:14" ht="15.75">
      <c r="A240" s="563"/>
      <c r="N240" s="672"/>
    </row>
    <row r="241" spans="1:14" ht="15.75">
      <c r="A241" s="563"/>
      <c r="N241" s="672"/>
    </row>
    <row r="242" spans="1:14" ht="15.75">
      <c r="A242" s="563"/>
      <c r="N242" s="672"/>
    </row>
    <row r="243" spans="1:14" ht="15.75">
      <c r="A243" s="563"/>
      <c r="N243" s="672"/>
    </row>
    <row r="244" spans="1:14" ht="15.75">
      <c r="A244" s="563"/>
      <c r="N244" s="672"/>
    </row>
    <row r="245" spans="1:14" ht="15.75">
      <c r="A245" s="563"/>
      <c r="N245" s="672"/>
    </row>
    <row r="246" spans="1:14" ht="15.75">
      <c r="A246" s="563"/>
      <c r="N246" s="672"/>
    </row>
    <row r="247" spans="1:14" ht="15.75">
      <c r="A247" s="563"/>
      <c r="N247" s="672"/>
    </row>
    <row r="248" spans="1:14" ht="15.75">
      <c r="A248" s="563"/>
      <c r="N248" s="672"/>
    </row>
    <row r="249" spans="1:14" ht="15.75">
      <c r="A249" s="563"/>
      <c r="N249" s="672"/>
    </row>
    <row r="250" spans="1:14" ht="15.75">
      <c r="A250" s="563"/>
      <c r="N250" s="672"/>
    </row>
    <row r="251" spans="1:14" ht="15.75">
      <c r="A251" s="563"/>
      <c r="N251" s="672"/>
    </row>
    <row r="252" spans="1:14" ht="15.75">
      <c r="A252" s="563"/>
      <c r="N252" s="672"/>
    </row>
    <row r="253" spans="1:14" ht="15.75">
      <c r="A253" s="563"/>
      <c r="N253" s="672"/>
    </row>
    <row r="254" spans="1:14" ht="15.75">
      <c r="A254" s="563"/>
      <c r="N254" s="672"/>
    </row>
    <row r="255" spans="1:14" ht="15.75">
      <c r="A255" s="563"/>
      <c r="N255" s="672"/>
    </row>
    <row r="256" spans="1:14" ht="15.75">
      <c r="A256" s="563"/>
      <c r="N256" s="672"/>
    </row>
    <row r="257" spans="1:14" ht="15.75">
      <c r="A257" s="563"/>
      <c r="N257" s="672"/>
    </row>
    <row r="258" spans="1:14" ht="15.75">
      <c r="A258" s="563"/>
      <c r="N258" s="672"/>
    </row>
    <row r="259" spans="1:14" ht="15.75">
      <c r="A259" s="563"/>
      <c r="N259" s="672"/>
    </row>
    <row r="260" spans="1:14" ht="15.75">
      <c r="A260" s="563"/>
      <c r="N260" s="672"/>
    </row>
    <row r="261" spans="1:14" ht="15.75">
      <c r="A261" s="563"/>
      <c r="N261" s="672"/>
    </row>
    <row r="262" spans="1:14" ht="15.75">
      <c r="A262" s="563"/>
      <c r="N262" s="672"/>
    </row>
    <row r="263" spans="1:14" ht="15.75">
      <c r="A263" s="563"/>
      <c r="N263" s="672"/>
    </row>
    <row r="264" spans="1:14" ht="15.75">
      <c r="A264" s="563"/>
      <c r="N264" s="672"/>
    </row>
    <row r="265" spans="1:14" ht="15.75">
      <c r="A265" s="563"/>
      <c r="N265" s="672"/>
    </row>
    <row r="266" spans="1:14" ht="15.75">
      <c r="A266" s="563"/>
      <c r="N266" s="672"/>
    </row>
    <row r="267" spans="1:14" ht="15.75">
      <c r="A267" s="563"/>
      <c r="N267" s="672"/>
    </row>
    <row r="268" spans="1:14" ht="15.75">
      <c r="A268" s="563"/>
      <c r="N268" s="672"/>
    </row>
    <row r="269" spans="1:14" ht="15.75">
      <c r="A269" s="563"/>
      <c r="N269" s="672"/>
    </row>
    <row r="270" spans="1:14" ht="15.75">
      <c r="A270" s="563"/>
      <c r="N270" s="672"/>
    </row>
    <row r="271" spans="1:14" ht="15.75">
      <c r="A271" s="563"/>
      <c r="N271" s="672"/>
    </row>
    <row r="272" spans="1:14" ht="15.75">
      <c r="A272" s="563"/>
      <c r="N272" s="672"/>
    </row>
    <row r="273" spans="1:14" ht="15.75">
      <c r="A273" s="563"/>
      <c r="N273" s="672"/>
    </row>
    <row r="274" spans="1:14" ht="15.75">
      <c r="A274" s="563"/>
      <c r="N274" s="672"/>
    </row>
    <row r="275" spans="1:14" ht="15.75">
      <c r="A275" s="563"/>
      <c r="N275" s="672"/>
    </row>
    <row r="276" spans="1:14" ht="15.75">
      <c r="A276" s="563"/>
      <c r="N276" s="672"/>
    </row>
    <row r="277" spans="1:14" ht="15.75">
      <c r="A277" s="563"/>
      <c r="N277" s="672"/>
    </row>
    <row r="278" spans="1:14" ht="15.75">
      <c r="A278" s="563"/>
      <c r="N278" s="672"/>
    </row>
    <row r="279" spans="1:14" ht="15.75">
      <c r="A279" s="563"/>
      <c r="N279" s="672"/>
    </row>
    <row r="280" spans="1:14" ht="15.75">
      <c r="A280" s="563"/>
      <c r="N280" s="672"/>
    </row>
    <row r="281" spans="1:14" ht="15.75">
      <c r="A281" s="563"/>
      <c r="N281" s="672"/>
    </row>
    <row r="282" spans="1:14" ht="15.75">
      <c r="A282" s="563"/>
      <c r="N282" s="672"/>
    </row>
    <row r="283" spans="1:14" ht="15.75">
      <c r="A283" s="563"/>
      <c r="N283" s="672"/>
    </row>
    <row r="284" spans="1:14" ht="15.75">
      <c r="A284" s="563"/>
      <c r="N284" s="672"/>
    </row>
    <row r="285" spans="1:14" ht="15.75">
      <c r="A285" s="563"/>
      <c r="N285" s="672"/>
    </row>
    <row r="286" spans="1:14" ht="15.75">
      <c r="A286" s="563"/>
      <c r="N286" s="672"/>
    </row>
    <row r="287" spans="1:14" ht="15.75">
      <c r="A287" s="563"/>
      <c r="N287" s="672"/>
    </row>
    <row r="288" spans="1:14" ht="15.75">
      <c r="A288" s="563"/>
      <c r="N288" s="672"/>
    </row>
    <row r="289" spans="1:14" ht="15.75">
      <c r="A289" s="563"/>
      <c r="N289" s="672"/>
    </row>
    <row r="290" spans="1:14" ht="15.75">
      <c r="A290" s="563"/>
      <c r="N290" s="672"/>
    </row>
    <row r="291" spans="1:14" ht="15.75">
      <c r="A291" s="563"/>
      <c r="N291" s="672"/>
    </row>
    <row r="292" spans="1:14" ht="15.75">
      <c r="A292" s="563"/>
      <c r="N292" s="672"/>
    </row>
    <row r="293" spans="1:14" ht="15.75">
      <c r="A293" s="563"/>
      <c r="N293" s="672"/>
    </row>
    <row r="294" spans="1:14" ht="15.75">
      <c r="A294" s="563"/>
      <c r="N294" s="672"/>
    </row>
    <row r="295" spans="1:14" ht="15.75">
      <c r="A295" s="563"/>
      <c r="N295" s="672"/>
    </row>
    <row r="296" spans="1:14" ht="15.75">
      <c r="A296" s="563"/>
      <c r="N296" s="672"/>
    </row>
    <row r="297" spans="1:14" ht="15.75">
      <c r="A297" s="563"/>
      <c r="N297" s="672"/>
    </row>
    <row r="298" spans="1:14" ht="15.75">
      <c r="A298" s="563"/>
      <c r="N298" s="672"/>
    </row>
    <row r="299" spans="1:14" ht="15.75">
      <c r="A299" s="563"/>
      <c r="N299" s="672"/>
    </row>
    <row r="300" spans="1:14" ht="15.75">
      <c r="A300" s="563"/>
      <c r="N300" s="672"/>
    </row>
    <row r="301" spans="1:14" ht="15.75">
      <c r="A301" s="563"/>
      <c r="N301" s="672"/>
    </row>
    <row r="302" spans="1:14" ht="15.75">
      <c r="A302" s="563"/>
      <c r="N302" s="672"/>
    </row>
    <row r="303" spans="1:14" ht="15.75">
      <c r="A303" s="563"/>
      <c r="N303" s="672"/>
    </row>
    <row r="304" spans="1:14" ht="15.75">
      <c r="A304" s="563"/>
      <c r="N304" s="672"/>
    </row>
    <row r="305" spans="1:14" ht="15.75">
      <c r="A305" s="563"/>
      <c r="N305" s="672"/>
    </row>
    <row r="306" spans="1:14" ht="15.75">
      <c r="A306" s="563"/>
      <c r="N306" s="672"/>
    </row>
    <row r="307" spans="1:14" ht="15.75">
      <c r="A307" s="563"/>
      <c r="N307" s="672"/>
    </row>
    <row r="308" spans="1:14" ht="15.75">
      <c r="A308" s="563"/>
      <c r="N308" s="672"/>
    </row>
    <row r="309" spans="1:14" ht="15.75">
      <c r="A309" s="563"/>
      <c r="N309" s="672"/>
    </row>
    <row r="310" spans="1:14" ht="15.75">
      <c r="A310" s="563"/>
      <c r="N310" s="672"/>
    </row>
    <row r="311" spans="1:14" ht="15.75">
      <c r="A311" s="563"/>
      <c r="N311" s="672"/>
    </row>
    <row r="312" spans="1:14" ht="15.75">
      <c r="A312" s="563"/>
      <c r="N312" s="672"/>
    </row>
    <row r="313" spans="1:14" ht="15.75">
      <c r="A313" s="563"/>
      <c r="N313" s="672"/>
    </row>
    <row r="314" spans="1:14" ht="15.75">
      <c r="A314" s="563"/>
      <c r="N314" s="672"/>
    </row>
    <row r="315" spans="1:14" ht="15.75">
      <c r="A315" s="563"/>
      <c r="N315" s="672"/>
    </row>
    <row r="316" spans="1:14" ht="15.75">
      <c r="A316" s="563"/>
      <c r="N316" s="672"/>
    </row>
    <row r="317" spans="1:14" ht="15.75">
      <c r="A317" s="563"/>
      <c r="N317" s="672"/>
    </row>
    <row r="318" spans="1:14" ht="15.75">
      <c r="A318" s="563"/>
      <c r="N318" s="672"/>
    </row>
    <row r="319" spans="1:14" ht="15.75">
      <c r="A319" s="563"/>
      <c r="N319" s="672"/>
    </row>
    <row r="320" spans="1:14" ht="15.75">
      <c r="A320" s="563"/>
      <c r="N320" s="672"/>
    </row>
    <row r="321" spans="1:14" ht="15.75">
      <c r="A321" s="563"/>
      <c r="N321" s="672"/>
    </row>
    <row r="322" spans="1:14" ht="15.75">
      <c r="A322" s="563"/>
      <c r="N322" s="672"/>
    </row>
    <row r="323" spans="1:14" ht="15.75">
      <c r="A323" s="563"/>
      <c r="N323" s="672"/>
    </row>
    <row r="324" spans="1:14" ht="15.75">
      <c r="A324" s="563"/>
      <c r="N324" s="672"/>
    </row>
    <row r="325" spans="1:14" ht="15.75">
      <c r="A325" s="563"/>
      <c r="N325" s="672"/>
    </row>
    <row r="326" spans="1:14" ht="15.75">
      <c r="A326" s="563"/>
      <c r="N326" s="672"/>
    </row>
    <row r="327" spans="1:14" ht="15.75">
      <c r="A327" s="563"/>
      <c r="N327" s="672"/>
    </row>
    <row r="328" spans="1:14" ht="15.75">
      <c r="A328" s="563"/>
      <c r="N328" s="672"/>
    </row>
    <row r="329" spans="1:14" ht="15.75">
      <c r="A329" s="563"/>
      <c r="N329" s="672"/>
    </row>
    <row r="330" spans="1:14" ht="15.75">
      <c r="A330" s="563"/>
      <c r="N330" s="672"/>
    </row>
    <row r="331" spans="1:14" ht="15.75">
      <c r="A331" s="563"/>
      <c r="N331" s="672"/>
    </row>
    <row r="332" spans="1:14" ht="15.75">
      <c r="A332" s="563"/>
      <c r="N332" s="672"/>
    </row>
    <row r="333" spans="1:14" ht="15.75">
      <c r="A333" s="563"/>
      <c r="N333" s="672"/>
    </row>
    <row r="334" spans="1:14" ht="15.75">
      <c r="A334" s="563"/>
      <c r="N334" s="672"/>
    </row>
    <row r="335" spans="1:14" ht="15.75">
      <c r="A335" s="563"/>
      <c r="N335" s="672"/>
    </row>
    <row r="336" spans="1:14" ht="15.75">
      <c r="A336" s="563"/>
      <c r="N336" s="672"/>
    </row>
    <row r="337" spans="1:14" ht="15.75">
      <c r="A337" s="563"/>
      <c r="N337" s="672"/>
    </row>
    <row r="338" spans="1:14" ht="15.75">
      <c r="A338" s="563"/>
      <c r="N338" s="672"/>
    </row>
    <row r="339" spans="1:14" ht="15.75">
      <c r="A339" s="563"/>
      <c r="N339" s="672"/>
    </row>
    <row r="340" spans="1:14" ht="15.75">
      <c r="A340" s="563"/>
      <c r="N340" s="672"/>
    </row>
    <row r="341" spans="1:14" ht="15.75">
      <c r="A341" s="563"/>
      <c r="N341" s="672"/>
    </row>
    <row r="342" spans="1:14" ht="15.75">
      <c r="A342" s="563"/>
      <c r="N342" s="672"/>
    </row>
    <row r="343" spans="1:14" ht="15.75">
      <c r="A343" s="563"/>
      <c r="N343" s="672"/>
    </row>
    <row r="344" spans="1:14" ht="15.75">
      <c r="A344" s="563"/>
      <c r="N344" s="672"/>
    </row>
    <row r="345" spans="1:14" ht="15.75">
      <c r="A345" s="563"/>
      <c r="N345" s="672"/>
    </row>
    <row r="346" spans="1:14" ht="15.75">
      <c r="A346" s="563"/>
      <c r="N346" s="672"/>
    </row>
    <row r="347" spans="1:14" ht="15.75">
      <c r="A347" s="563"/>
      <c r="N347" s="672"/>
    </row>
    <row r="348" spans="1:14" ht="15.75">
      <c r="A348" s="563"/>
      <c r="N348" s="672"/>
    </row>
    <row r="349" spans="1:14" ht="15.75">
      <c r="A349" s="563"/>
      <c r="N349" s="672"/>
    </row>
    <row r="350" spans="1:14" ht="15.75">
      <c r="A350" s="563"/>
      <c r="N350" s="672"/>
    </row>
    <row r="351" spans="1:14" ht="15.75">
      <c r="A351" s="563"/>
      <c r="N351" s="672"/>
    </row>
    <row r="352" spans="1:14" ht="15.75">
      <c r="A352" s="563"/>
      <c r="N352" s="672"/>
    </row>
    <row r="353" spans="1:14" ht="15.75">
      <c r="A353" s="563"/>
      <c r="N353" s="672"/>
    </row>
    <row r="354" spans="1:14" ht="15.75">
      <c r="A354" s="563"/>
      <c r="N354" s="672"/>
    </row>
    <row r="355" spans="1:14" ht="15.75">
      <c r="A355" s="563"/>
      <c r="N355" s="672"/>
    </row>
    <row r="356" spans="1:14" ht="15.75">
      <c r="A356" s="563"/>
      <c r="N356" s="672"/>
    </row>
    <row r="357" spans="1:14" ht="15.75">
      <c r="A357" s="563"/>
      <c r="N357" s="672"/>
    </row>
    <row r="358" spans="1:14" ht="15.75">
      <c r="A358" s="563"/>
      <c r="N358" s="672"/>
    </row>
    <row r="359" spans="1:14" ht="15.75">
      <c r="A359" s="563"/>
      <c r="N359" s="672"/>
    </row>
    <row r="360" spans="1:14" ht="15.75">
      <c r="A360" s="563"/>
      <c r="N360" s="672"/>
    </row>
    <row r="361" spans="1:14" ht="15.75">
      <c r="A361" s="563"/>
      <c r="N361" s="672"/>
    </row>
    <row r="362" spans="1:14" ht="15.75">
      <c r="A362" s="563"/>
      <c r="N362" s="672"/>
    </row>
    <row r="363" ht="15.75">
      <c r="N363" s="672"/>
    </row>
    <row r="364" ht="15.75">
      <c r="N364" s="672"/>
    </row>
    <row r="365" ht="15.75">
      <c r="N365" s="672"/>
    </row>
    <row r="366" ht="15.75">
      <c r="N366" s="672"/>
    </row>
    <row r="367" ht="15.75">
      <c r="N367" s="672"/>
    </row>
    <row r="368" ht="15.75">
      <c r="N368" s="672"/>
    </row>
    <row r="369" ht="15.75">
      <c r="N369" s="672"/>
    </row>
    <row r="370" ht="15.75">
      <c r="N370" s="672"/>
    </row>
    <row r="371" ht="15.75">
      <c r="N371" s="672"/>
    </row>
    <row r="372" ht="15.75">
      <c r="N372" s="672"/>
    </row>
    <row r="373" ht="15.75">
      <c r="N373" s="672"/>
    </row>
    <row r="374" ht="15.75">
      <c r="N374" s="672"/>
    </row>
    <row r="375" ht="15.75">
      <c r="N375" s="672"/>
    </row>
    <row r="376" ht="15.75">
      <c r="N376" s="672"/>
    </row>
    <row r="377" ht="15.75">
      <c r="N377" s="672"/>
    </row>
    <row r="378" ht="15.75">
      <c r="N378" s="672"/>
    </row>
    <row r="379" ht="15.75">
      <c r="N379" s="672"/>
    </row>
    <row r="380" ht="15.75">
      <c r="N380" s="672"/>
    </row>
    <row r="381" ht="15.75">
      <c r="N381" s="672"/>
    </row>
    <row r="382" ht="15.75">
      <c r="N382" s="672"/>
    </row>
    <row r="383" ht="15.75">
      <c r="N383" s="672"/>
    </row>
    <row r="384" ht="15.75">
      <c r="N384" s="672"/>
    </row>
    <row r="385" ht="15.75">
      <c r="N385" s="672"/>
    </row>
    <row r="386" ht="15.75">
      <c r="N386" s="672"/>
    </row>
    <row r="387" ht="15.75">
      <c r="N387" s="672"/>
    </row>
    <row r="388" ht="15.75">
      <c r="N388" s="672"/>
    </row>
    <row r="389" ht="15.75">
      <c r="N389" s="672"/>
    </row>
    <row r="390" ht="15.75">
      <c r="N390" s="672"/>
    </row>
    <row r="391" ht="15.75">
      <c r="N391" s="672"/>
    </row>
    <row r="392" ht="15.75">
      <c r="N392" s="672"/>
    </row>
    <row r="393" ht="15.75">
      <c r="N393" s="672"/>
    </row>
    <row r="394" ht="15.75">
      <c r="N394" s="672"/>
    </row>
    <row r="395" ht="15.75">
      <c r="N395" s="672"/>
    </row>
    <row r="396" ht="15.75">
      <c r="N396" s="672"/>
    </row>
    <row r="397" ht="15.75">
      <c r="N397" s="672"/>
    </row>
    <row r="398" ht="15.75">
      <c r="N398" s="672"/>
    </row>
    <row r="399" ht="15.75">
      <c r="N399" s="672"/>
    </row>
    <row r="400" ht="15.75">
      <c r="N400" s="672"/>
    </row>
    <row r="401" ht="15.75">
      <c r="N401" s="672"/>
    </row>
    <row r="402" ht="15.75">
      <c r="N402" s="672"/>
    </row>
    <row r="403" ht="15.75">
      <c r="N403" s="672"/>
    </row>
    <row r="404" ht="15.75">
      <c r="N404" s="672"/>
    </row>
    <row r="405" ht="15.75">
      <c r="N405" s="672"/>
    </row>
    <row r="406" ht="15.75">
      <c r="N406" s="672"/>
    </row>
    <row r="407" ht="15.75">
      <c r="N407" s="672"/>
    </row>
    <row r="408" ht="15.75">
      <c r="N408" s="672"/>
    </row>
    <row r="409" ht="15.75">
      <c r="N409" s="672"/>
    </row>
    <row r="410" ht="15.75">
      <c r="N410" s="672"/>
    </row>
    <row r="411" ht="15.75">
      <c r="N411" s="672"/>
    </row>
    <row r="412" ht="15.75">
      <c r="N412" s="672"/>
    </row>
    <row r="413" ht="15.75">
      <c r="N413" s="672"/>
    </row>
    <row r="414" ht="15.75">
      <c r="N414" s="672"/>
    </row>
    <row r="415" ht="15.75">
      <c r="N415" s="672"/>
    </row>
    <row r="416" ht="15.75">
      <c r="N416" s="672"/>
    </row>
    <row r="417" ht="15.75">
      <c r="N417" s="672"/>
    </row>
    <row r="418" ht="15.75">
      <c r="N418" s="672"/>
    </row>
    <row r="419" ht="15.75">
      <c r="N419" s="672"/>
    </row>
    <row r="420" ht="15.75">
      <c r="N420" s="672"/>
    </row>
    <row r="421" ht="15.75">
      <c r="N421" s="672"/>
    </row>
    <row r="422" ht="15.75">
      <c r="N422" s="672"/>
    </row>
    <row r="423" ht="15.75">
      <c r="N423" s="672"/>
    </row>
    <row r="424" ht="15.75">
      <c r="N424" s="672"/>
    </row>
    <row r="425" ht="15.75">
      <c r="N425" s="672"/>
    </row>
    <row r="426" ht="15.75">
      <c r="N426" s="672"/>
    </row>
    <row r="427" ht="15.75">
      <c r="N427" s="672"/>
    </row>
    <row r="428" ht="15.75">
      <c r="N428" s="672"/>
    </row>
    <row r="429" ht="15.75">
      <c r="N429" s="672"/>
    </row>
    <row r="430" ht="15.75">
      <c r="N430" s="672"/>
    </row>
    <row r="431" ht="15.75">
      <c r="N431" s="672"/>
    </row>
    <row r="432" ht="15.75">
      <c r="N432" s="672"/>
    </row>
    <row r="433" ht="15.75">
      <c r="N433" s="672"/>
    </row>
    <row r="434" ht="15.75">
      <c r="N434" s="672"/>
    </row>
    <row r="435" ht="15.75">
      <c r="N435" s="672"/>
    </row>
    <row r="436" ht="15.75">
      <c r="N436" s="672"/>
    </row>
    <row r="437" ht="15.75">
      <c r="N437" s="672"/>
    </row>
    <row r="438" ht="15.75">
      <c r="N438" s="672"/>
    </row>
    <row r="439" ht="15.75">
      <c r="N439" s="672"/>
    </row>
    <row r="440" ht="15.75">
      <c r="N440" s="672"/>
    </row>
    <row r="441" ht="15.75">
      <c r="N441" s="672"/>
    </row>
    <row r="442" ht="15.75">
      <c r="N442" s="672"/>
    </row>
    <row r="443" ht="15.75">
      <c r="N443" s="672"/>
    </row>
    <row r="444" ht="15.75">
      <c r="N444" s="672"/>
    </row>
    <row r="445" ht="15.75">
      <c r="N445" s="672"/>
    </row>
    <row r="446" ht="15.75">
      <c r="N446" s="672"/>
    </row>
    <row r="447" ht="15.75">
      <c r="N447" s="672"/>
    </row>
    <row r="448" ht="15.75">
      <c r="N448" s="672"/>
    </row>
    <row r="449" ht="15.75">
      <c r="N449" s="672"/>
    </row>
    <row r="450" ht="15.75">
      <c r="N450" s="672"/>
    </row>
    <row r="451" ht="15.75">
      <c r="N451" s="672"/>
    </row>
    <row r="452" ht="15.75">
      <c r="N452" s="672"/>
    </row>
    <row r="453" ht="15.75">
      <c r="N453" s="672"/>
    </row>
    <row r="454" ht="15.75">
      <c r="N454" s="672"/>
    </row>
    <row r="455" ht="15.75">
      <c r="N455" s="672"/>
    </row>
    <row r="456" ht="15.75">
      <c r="N456" s="672"/>
    </row>
    <row r="457" ht="15.75">
      <c r="N457" s="672"/>
    </row>
    <row r="458" ht="15.75">
      <c r="N458" s="672"/>
    </row>
    <row r="459" ht="15.75">
      <c r="N459" s="672"/>
    </row>
    <row r="460" ht="15.75">
      <c r="N460" s="672"/>
    </row>
    <row r="461" ht="15.75">
      <c r="N461" s="672"/>
    </row>
    <row r="462" ht="15.75">
      <c r="N462" s="672"/>
    </row>
    <row r="463" ht="15.75">
      <c r="N463" s="672"/>
    </row>
    <row r="464" ht="15.75">
      <c r="N464" s="672"/>
    </row>
    <row r="465" ht="15.75">
      <c r="N465" s="672"/>
    </row>
    <row r="466" ht="15.75">
      <c r="N466" s="672"/>
    </row>
    <row r="467" ht="15.75">
      <c r="N467" s="672"/>
    </row>
    <row r="468" ht="15.75">
      <c r="N468" s="672"/>
    </row>
    <row r="469" ht="15.75">
      <c r="N469" s="672"/>
    </row>
    <row r="470" ht="15.75">
      <c r="N470" s="672"/>
    </row>
    <row r="471" ht="15.75">
      <c r="N471" s="672"/>
    </row>
    <row r="472" ht="15.75">
      <c r="N472" s="672"/>
    </row>
    <row r="473" ht="15.75">
      <c r="N473" s="672"/>
    </row>
    <row r="474" ht="15.75">
      <c r="N474" s="672"/>
    </row>
    <row r="475" ht="15.75">
      <c r="N475" s="672"/>
    </row>
    <row r="476" ht="15.75">
      <c r="N476" s="672"/>
    </row>
    <row r="477" ht="15.75">
      <c r="N477" s="672"/>
    </row>
    <row r="478" ht="15.75">
      <c r="N478" s="672"/>
    </row>
    <row r="479" ht="15.75">
      <c r="N479" s="672"/>
    </row>
    <row r="480" ht="15.75">
      <c r="N480" s="672"/>
    </row>
    <row r="481" ht="15.75">
      <c r="N481" s="672"/>
    </row>
    <row r="482" ht="15.75">
      <c r="N482" s="672"/>
    </row>
    <row r="483" ht="15.75">
      <c r="N483" s="672"/>
    </row>
    <row r="484" ht="15.75">
      <c r="N484" s="672"/>
    </row>
    <row r="485" ht="15.75">
      <c r="N485" s="672"/>
    </row>
    <row r="486" ht="15.75">
      <c r="N486" s="672"/>
    </row>
    <row r="487" ht="15.75">
      <c r="N487" s="672"/>
    </row>
    <row r="488" ht="15.75">
      <c r="N488" s="672"/>
    </row>
    <row r="489" ht="15.75">
      <c r="N489" s="672"/>
    </row>
    <row r="490" ht="15.75">
      <c r="N490" s="672"/>
    </row>
    <row r="491" ht="15.75">
      <c r="N491" s="672"/>
    </row>
    <row r="492" ht="15.75">
      <c r="N492" s="672"/>
    </row>
    <row r="493" ht="15.75">
      <c r="N493" s="672"/>
    </row>
    <row r="494" ht="15.75">
      <c r="N494" s="672"/>
    </row>
    <row r="495" ht="15.75">
      <c r="N495" s="672"/>
    </row>
    <row r="496" ht="15.75">
      <c r="N496" s="672"/>
    </row>
    <row r="497" ht="15.75">
      <c r="N497" s="672"/>
    </row>
    <row r="498" ht="15.75">
      <c r="N498" s="672"/>
    </row>
    <row r="499" ht="15.75">
      <c r="N499" s="672"/>
    </row>
    <row r="500" ht="15.75">
      <c r="N500" s="672"/>
    </row>
    <row r="501" ht="15.75">
      <c r="N501" s="672"/>
    </row>
    <row r="502" ht="15.75">
      <c r="N502" s="672"/>
    </row>
    <row r="503" ht="15.75">
      <c r="N503" s="672"/>
    </row>
    <row r="504" ht="15.75">
      <c r="N504" s="672"/>
    </row>
    <row r="505" ht="15.75">
      <c r="N505" s="672"/>
    </row>
    <row r="506" ht="15.75">
      <c r="N506" s="672"/>
    </row>
    <row r="507" ht="15.75">
      <c r="N507" s="672"/>
    </row>
    <row r="508" ht="15.75">
      <c r="N508" s="672"/>
    </row>
    <row r="509" ht="15.75">
      <c r="N509" s="672"/>
    </row>
    <row r="510" ht="15.75">
      <c r="N510" s="672"/>
    </row>
    <row r="511" ht="15.75">
      <c r="N511" s="672"/>
    </row>
    <row r="512" ht="15.75">
      <c r="N512" s="672"/>
    </row>
    <row r="513" ht="15.75">
      <c r="N513" s="672"/>
    </row>
    <row r="514" ht="15.75">
      <c r="N514" s="672"/>
    </row>
    <row r="515" ht="15.75">
      <c r="N515" s="672"/>
    </row>
    <row r="516" ht="15.75">
      <c r="N516" s="672"/>
    </row>
    <row r="517" ht="15.75">
      <c r="N517" s="672"/>
    </row>
    <row r="518" ht="15.75">
      <c r="N518" s="672"/>
    </row>
    <row r="519" ht="15.75">
      <c r="N519" s="672"/>
    </row>
    <row r="520" ht="15.75">
      <c r="N520" s="672"/>
    </row>
    <row r="521" ht="15.75">
      <c r="N521" s="672"/>
    </row>
    <row r="522" ht="15.75">
      <c r="N522" s="672"/>
    </row>
    <row r="523" ht="15.75">
      <c r="N523" s="672"/>
    </row>
    <row r="524" ht="15.75">
      <c r="N524" s="672"/>
    </row>
    <row r="525" ht="15.75">
      <c r="N525" s="672"/>
    </row>
    <row r="526" ht="15.75">
      <c r="N526" s="672"/>
    </row>
    <row r="527" ht="15.75">
      <c r="N527" s="672"/>
    </row>
    <row r="528" ht="15.75">
      <c r="N528" s="672"/>
    </row>
    <row r="529" ht="15.75">
      <c r="N529" s="672"/>
    </row>
    <row r="530" ht="15.75">
      <c r="N530" s="672"/>
    </row>
    <row r="531" ht="15.75">
      <c r="N531" s="672"/>
    </row>
    <row r="532" ht="15.75">
      <c r="N532" s="672"/>
    </row>
    <row r="533" ht="15.75">
      <c r="N533" s="672"/>
    </row>
    <row r="534" ht="15.75">
      <c r="N534" s="672"/>
    </row>
    <row r="535" ht="15.75">
      <c r="N535" s="672"/>
    </row>
    <row r="536" ht="15.75">
      <c r="N536" s="672"/>
    </row>
    <row r="537" ht="15.75">
      <c r="N537" s="672"/>
    </row>
    <row r="538" ht="15.75">
      <c r="N538" s="672"/>
    </row>
    <row r="539" ht="15.75">
      <c r="N539" s="672"/>
    </row>
    <row r="540" ht="15.75">
      <c r="N540" s="672"/>
    </row>
    <row r="541" ht="15.75">
      <c r="N541" s="672"/>
    </row>
    <row r="542" ht="15.75">
      <c r="N542" s="672"/>
    </row>
    <row r="543" ht="15.75">
      <c r="N543" s="672"/>
    </row>
    <row r="544" ht="15.75">
      <c r="N544" s="672"/>
    </row>
    <row r="545" ht="15.75">
      <c r="N545" s="672"/>
    </row>
    <row r="546" ht="15.75">
      <c r="N546" s="672"/>
    </row>
    <row r="547" ht="15.75">
      <c r="N547" s="672"/>
    </row>
    <row r="548" ht="15.75">
      <c r="N548" s="672"/>
    </row>
    <row r="549" ht="15.75">
      <c r="N549" s="672"/>
    </row>
    <row r="550" ht="15.75">
      <c r="N550" s="672"/>
    </row>
    <row r="551" ht="15.75">
      <c r="N551" s="672"/>
    </row>
    <row r="552" ht="15.75">
      <c r="N552" s="672"/>
    </row>
    <row r="553" ht="15.75">
      <c r="N553" s="672"/>
    </row>
    <row r="554" ht="15.75">
      <c r="N554" s="672"/>
    </row>
    <row r="555" ht="15.75">
      <c r="N555" s="672"/>
    </row>
    <row r="556" ht="15.75">
      <c r="N556" s="672"/>
    </row>
    <row r="557" ht="15.75">
      <c r="N557" s="672"/>
    </row>
    <row r="558" ht="15.75">
      <c r="N558" s="672"/>
    </row>
    <row r="559" ht="15.75">
      <c r="N559" s="672"/>
    </row>
    <row r="560" ht="15.75">
      <c r="N560" s="672"/>
    </row>
    <row r="561" ht="15.75">
      <c r="N561" s="672"/>
    </row>
    <row r="562" ht="15.75">
      <c r="N562" s="672"/>
    </row>
    <row r="563" ht="15.75">
      <c r="N563" s="672"/>
    </row>
    <row r="564" ht="15.75">
      <c r="N564" s="672"/>
    </row>
    <row r="565" ht="15.75">
      <c r="N565" s="672"/>
    </row>
    <row r="566" ht="15.75">
      <c r="N566" s="672"/>
    </row>
    <row r="567" ht="15.75">
      <c r="N567" s="672"/>
    </row>
    <row r="568" ht="15.75">
      <c r="N568" s="672"/>
    </row>
    <row r="569" ht="15.75">
      <c r="N569" s="672"/>
    </row>
    <row r="570" ht="15.75">
      <c r="N570" s="672"/>
    </row>
    <row r="571" ht="15.75">
      <c r="N571" s="672"/>
    </row>
    <row r="572" ht="15.75">
      <c r="N572" s="672"/>
    </row>
    <row r="573" ht="15.75">
      <c r="N573" s="672"/>
    </row>
    <row r="574" ht="15.75">
      <c r="N574" s="672"/>
    </row>
    <row r="575" ht="15.75">
      <c r="N575" s="672"/>
    </row>
    <row r="576" ht="15.75">
      <c r="N576" s="672"/>
    </row>
    <row r="577" ht="15.75">
      <c r="N577" s="672"/>
    </row>
    <row r="578" ht="15.75">
      <c r="N578" s="672"/>
    </row>
    <row r="579" ht="15.75">
      <c r="N579" s="672"/>
    </row>
    <row r="580" ht="15.75">
      <c r="N580" s="672"/>
    </row>
    <row r="581" ht="15.75">
      <c r="N581" s="672"/>
    </row>
    <row r="582" ht="15.75">
      <c r="N582" s="672"/>
    </row>
    <row r="583" ht="15.75">
      <c r="N583" s="672"/>
    </row>
    <row r="584" ht="15.75">
      <c r="N584" s="672"/>
    </row>
    <row r="585" ht="15.75">
      <c r="N585" s="672"/>
    </row>
    <row r="586" ht="15.75">
      <c r="N586" s="672"/>
    </row>
    <row r="587" ht="15.75">
      <c r="N587" s="672"/>
    </row>
    <row r="588" ht="15.75">
      <c r="N588" s="672"/>
    </row>
    <row r="589" ht="15.75">
      <c r="N589" s="672"/>
    </row>
    <row r="590" ht="15.75">
      <c r="N590" s="672"/>
    </row>
    <row r="591" ht="15.75">
      <c r="N591" s="672"/>
    </row>
    <row r="592" ht="15.75">
      <c r="N592" s="672"/>
    </row>
    <row r="593" ht="15.75">
      <c r="N593" s="672"/>
    </row>
    <row r="594" ht="15.75">
      <c r="N594" s="672"/>
    </row>
    <row r="595" ht="15.75">
      <c r="N595" s="672"/>
    </row>
    <row r="596" ht="15.75">
      <c r="N596" s="672"/>
    </row>
    <row r="597" ht="15.75">
      <c r="N597" s="672"/>
    </row>
    <row r="598" ht="15.75">
      <c r="N598" s="672"/>
    </row>
    <row r="599" ht="15.75">
      <c r="N599" s="672"/>
    </row>
    <row r="600" ht="15.75">
      <c r="N600" s="672"/>
    </row>
    <row r="601" ht="15.75">
      <c r="N601" s="672"/>
    </row>
    <row r="602" ht="15.75">
      <c r="N602" s="672"/>
    </row>
    <row r="603" ht="15.75">
      <c r="N603" s="672"/>
    </row>
    <row r="604" ht="15.75">
      <c r="N604" s="672"/>
    </row>
    <row r="605" ht="15.75">
      <c r="N605" s="672"/>
    </row>
    <row r="606" ht="15.75">
      <c r="N606" s="672"/>
    </row>
    <row r="607" ht="15.75">
      <c r="N607" s="672"/>
    </row>
    <row r="608" ht="15.75">
      <c r="N608" s="672"/>
    </row>
    <row r="609" ht="15.75">
      <c r="N609" s="672"/>
    </row>
    <row r="610" ht="15.75">
      <c r="N610" s="672"/>
    </row>
    <row r="611" ht="15.75">
      <c r="N611" s="672"/>
    </row>
    <row r="612" ht="15.75">
      <c r="N612" s="672"/>
    </row>
    <row r="613" ht="15.75">
      <c r="N613" s="672"/>
    </row>
    <row r="614" ht="15.75">
      <c r="N614" s="672"/>
    </row>
    <row r="615" ht="15.75">
      <c r="N615" s="672"/>
    </row>
    <row r="616" ht="15.75">
      <c r="N616" s="672"/>
    </row>
    <row r="617" ht="15.75">
      <c r="N617" s="672"/>
    </row>
    <row r="618" ht="15.75">
      <c r="N618" s="672"/>
    </row>
    <row r="619" ht="15.75">
      <c r="N619" s="672"/>
    </row>
    <row r="620" ht="15.75">
      <c r="N620" s="672"/>
    </row>
    <row r="621" ht="15.75">
      <c r="N621" s="672"/>
    </row>
    <row r="622" ht="15.75">
      <c r="N622" s="672"/>
    </row>
    <row r="623" ht="15.75">
      <c r="N623" s="672"/>
    </row>
    <row r="624" ht="15.75">
      <c r="N624" s="672"/>
    </row>
    <row r="625" ht="15.75">
      <c r="N625" s="672"/>
    </row>
    <row r="626" ht="15.75">
      <c r="N626" s="672"/>
    </row>
    <row r="627" ht="15.75">
      <c r="N627" s="672"/>
    </row>
    <row r="628" ht="15.75">
      <c r="N628" s="672"/>
    </row>
    <row r="629" ht="15.75">
      <c r="N629" s="672"/>
    </row>
    <row r="630" ht="15.75">
      <c r="N630" s="672"/>
    </row>
    <row r="631" ht="15.75">
      <c r="N631" s="672"/>
    </row>
    <row r="632" ht="15.75">
      <c r="N632" s="672"/>
    </row>
    <row r="633" ht="15.75">
      <c r="N633" s="672"/>
    </row>
    <row r="634" ht="15.75">
      <c r="N634" s="672"/>
    </row>
    <row r="635" ht="15.75">
      <c r="N635" s="672"/>
    </row>
    <row r="636" ht="15.75">
      <c r="N636" s="672"/>
    </row>
    <row r="637" ht="15.75">
      <c r="N637" s="672"/>
    </row>
    <row r="638" ht="15.75">
      <c r="N638" s="672"/>
    </row>
    <row r="639" ht="15.75">
      <c r="N639" s="672"/>
    </row>
    <row r="640" ht="15.75">
      <c r="N640" s="672"/>
    </row>
    <row r="641" ht="15.75">
      <c r="N641" s="672"/>
    </row>
    <row r="642" ht="15.75">
      <c r="N642" s="672"/>
    </row>
    <row r="643" ht="15.75">
      <c r="N643" s="672"/>
    </row>
    <row r="644" ht="15.75">
      <c r="N644" s="672"/>
    </row>
    <row r="645" ht="15.75">
      <c r="N645" s="672"/>
    </row>
    <row r="646" ht="15.75">
      <c r="N646" s="672"/>
    </row>
    <row r="647" ht="15.75">
      <c r="N647" s="672"/>
    </row>
    <row r="648" ht="15.75">
      <c r="N648" s="672"/>
    </row>
    <row r="649" ht="15.75">
      <c r="N649" s="672"/>
    </row>
    <row r="650" ht="15.75">
      <c r="N650" s="672"/>
    </row>
    <row r="651" ht="15.75">
      <c r="N651" s="672"/>
    </row>
    <row r="652" ht="15.75">
      <c r="N652" s="672"/>
    </row>
    <row r="653" ht="15.75">
      <c r="N653" s="672"/>
    </row>
    <row r="654" ht="15.75">
      <c r="N654" s="672"/>
    </row>
    <row r="655" ht="15.75">
      <c r="N655" s="672"/>
    </row>
    <row r="656" ht="15.75">
      <c r="N656" s="672"/>
    </row>
    <row r="657" ht="15.75">
      <c r="N657" s="672"/>
    </row>
    <row r="658" ht="15.75">
      <c r="N658" s="672"/>
    </row>
    <row r="659" ht="15.75">
      <c r="N659" s="672"/>
    </row>
    <row r="660" ht="15.75">
      <c r="N660" s="672"/>
    </row>
    <row r="661" ht="15.75">
      <c r="N661" s="672"/>
    </row>
    <row r="662" ht="15.75">
      <c r="N662" s="672"/>
    </row>
    <row r="663" ht="15.75">
      <c r="N663" s="672"/>
    </row>
    <row r="664" ht="15.75">
      <c r="N664" s="672"/>
    </row>
    <row r="665" ht="15.75">
      <c r="N665" s="672"/>
    </row>
    <row r="666" ht="15.75">
      <c r="N666" s="672"/>
    </row>
    <row r="667" ht="15.75">
      <c r="N667" s="672"/>
    </row>
    <row r="668" ht="15.75">
      <c r="N668" s="672"/>
    </row>
    <row r="669" ht="15.75">
      <c r="N669" s="672"/>
    </row>
    <row r="670" ht="15.75">
      <c r="N670" s="672"/>
    </row>
    <row r="671" ht="15.75">
      <c r="N671" s="672"/>
    </row>
    <row r="672" ht="15.75">
      <c r="N672" s="672"/>
    </row>
    <row r="673" ht="15.75">
      <c r="N673" s="672"/>
    </row>
    <row r="674" ht="15.75">
      <c r="N674" s="672"/>
    </row>
    <row r="675" ht="15.75">
      <c r="N675" s="672"/>
    </row>
    <row r="676" ht="15.75">
      <c r="N676" s="672"/>
    </row>
    <row r="677" ht="15.75">
      <c r="N677" s="672"/>
    </row>
    <row r="678" ht="15.75">
      <c r="N678" s="672"/>
    </row>
    <row r="679" ht="15.75">
      <c r="N679" s="672"/>
    </row>
    <row r="680" ht="15.75">
      <c r="N680" s="672"/>
    </row>
    <row r="681" ht="15.75">
      <c r="N681" s="672"/>
    </row>
    <row r="682" ht="15.75">
      <c r="N682" s="672"/>
    </row>
    <row r="683" ht="15.75">
      <c r="N683" s="672"/>
    </row>
    <row r="684" ht="15.75">
      <c r="N684" s="672"/>
    </row>
    <row r="685" ht="15.75">
      <c r="N685" s="672"/>
    </row>
    <row r="686" ht="15.75">
      <c r="N686" s="672"/>
    </row>
    <row r="687" ht="15.75">
      <c r="N687" s="672"/>
    </row>
    <row r="688" ht="15.75">
      <c r="N688" s="672"/>
    </row>
    <row r="689" ht="15.75">
      <c r="N689" s="672"/>
    </row>
    <row r="690" ht="15.75">
      <c r="N690" s="672"/>
    </row>
    <row r="691" ht="15.75">
      <c r="N691" s="672"/>
    </row>
    <row r="692" ht="15.75">
      <c r="N692" s="672"/>
    </row>
    <row r="693" ht="15.75">
      <c r="N693" s="672"/>
    </row>
    <row r="694" ht="15.75">
      <c r="N694" s="672"/>
    </row>
    <row r="695" ht="15.75">
      <c r="N695" s="672"/>
    </row>
    <row r="696" ht="15.75">
      <c r="N696" s="672"/>
    </row>
    <row r="697" ht="15.75">
      <c r="N697" s="672"/>
    </row>
    <row r="698" ht="15.75">
      <c r="N698" s="672"/>
    </row>
    <row r="699" ht="15.75">
      <c r="N699" s="672"/>
    </row>
    <row r="700" ht="15.75">
      <c r="N700" s="672"/>
    </row>
    <row r="701" ht="15.75">
      <c r="N701" s="672"/>
    </row>
    <row r="702" ht="15.75">
      <c r="N702" s="672"/>
    </row>
    <row r="703" ht="15.75">
      <c r="N703" s="672"/>
    </row>
    <row r="704" ht="15.75">
      <c r="N704" s="672"/>
    </row>
    <row r="705" ht="15.75">
      <c r="N705" s="672"/>
    </row>
    <row r="706" ht="15.75">
      <c r="N706" s="672"/>
    </row>
    <row r="707" ht="15.75">
      <c r="N707" s="672"/>
    </row>
    <row r="708" ht="15.75">
      <c r="N708" s="672"/>
    </row>
    <row r="709" ht="15.75">
      <c r="N709" s="672"/>
    </row>
    <row r="710" ht="15.75">
      <c r="N710" s="672"/>
    </row>
    <row r="711" ht="15.75">
      <c r="N711" s="672"/>
    </row>
    <row r="712" ht="15.75">
      <c r="N712" s="672"/>
    </row>
    <row r="713" ht="15.75">
      <c r="N713" s="672"/>
    </row>
    <row r="714" ht="15.75">
      <c r="N714" s="672"/>
    </row>
    <row r="715" ht="15.75">
      <c r="N715" s="672"/>
    </row>
    <row r="716" ht="15.75">
      <c r="N716" s="672"/>
    </row>
    <row r="717" ht="15.75">
      <c r="N717" s="672"/>
    </row>
    <row r="718" ht="15.75">
      <c r="N718" s="672"/>
    </row>
    <row r="719" ht="15.75">
      <c r="N719" s="672"/>
    </row>
    <row r="720" ht="15.75">
      <c r="N720" s="672"/>
    </row>
    <row r="721" ht="15.75">
      <c r="N721" s="672"/>
    </row>
    <row r="722" ht="15.75">
      <c r="N722" s="672"/>
    </row>
    <row r="723" ht="15.75">
      <c r="N723" s="672"/>
    </row>
    <row r="724" ht="15.75">
      <c r="N724" s="672"/>
    </row>
    <row r="725" ht="15.75">
      <c r="N725" s="672"/>
    </row>
    <row r="726" ht="15.75">
      <c r="N726" s="672"/>
    </row>
    <row r="727" ht="15.75">
      <c r="N727" s="672"/>
    </row>
    <row r="728" ht="15.75">
      <c r="N728" s="672"/>
    </row>
    <row r="729" ht="15.75">
      <c r="N729" s="672"/>
    </row>
    <row r="730" ht="15.75">
      <c r="N730" s="672"/>
    </row>
    <row r="731" ht="15.75">
      <c r="N731" s="672"/>
    </row>
    <row r="732" ht="15.75">
      <c r="N732" s="672"/>
    </row>
    <row r="733" ht="15.75">
      <c r="N733" s="672"/>
    </row>
    <row r="734" ht="15.75">
      <c r="N734" s="672"/>
    </row>
    <row r="735" ht="15.75">
      <c r="N735" s="672"/>
    </row>
    <row r="736" ht="15.75">
      <c r="N736" s="672"/>
    </row>
    <row r="737" ht="15.75">
      <c r="N737" s="672"/>
    </row>
    <row r="738" ht="15.75">
      <c r="N738" s="672"/>
    </row>
    <row r="739" ht="15.75">
      <c r="N739" s="672"/>
    </row>
    <row r="740" ht="15.75">
      <c r="N740" s="672"/>
    </row>
    <row r="741" ht="15.75">
      <c r="N741" s="672"/>
    </row>
    <row r="742" ht="15.75">
      <c r="N742" s="672"/>
    </row>
    <row r="743" ht="15.75">
      <c r="N743" s="672"/>
    </row>
    <row r="744" ht="15.75">
      <c r="N744" s="672"/>
    </row>
    <row r="745" ht="15.75">
      <c r="N745" s="672"/>
    </row>
    <row r="746" ht="15.75">
      <c r="N746" s="672"/>
    </row>
    <row r="747" ht="15.75">
      <c r="N747" s="672"/>
    </row>
    <row r="748" ht="15.75">
      <c r="N748" s="672"/>
    </row>
    <row r="749" ht="15.75">
      <c r="N749" s="672"/>
    </row>
    <row r="750" ht="15.75">
      <c r="N750" s="672"/>
    </row>
    <row r="751" ht="15.75">
      <c r="N751" s="672"/>
    </row>
    <row r="752" ht="15.75">
      <c r="N752" s="672"/>
    </row>
    <row r="753" ht="15.75">
      <c r="N753" s="672"/>
    </row>
    <row r="754" ht="15.75">
      <c r="N754" s="672"/>
    </row>
    <row r="755" ht="15.75">
      <c r="N755" s="672"/>
    </row>
    <row r="756" ht="15.75">
      <c r="N756" s="672"/>
    </row>
    <row r="757" ht="15.75">
      <c r="N757" s="672"/>
    </row>
    <row r="758" ht="15.75">
      <c r="N758" s="672"/>
    </row>
    <row r="759" ht="15.75">
      <c r="N759" s="672"/>
    </row>
    <row r="760" ht="15.75">
      <c r="N760" s="672"/>
    </row>
    <row r="761" ht="15.75">
      <c r="N761" s="672"/>
    </row>
    <row r="762" ht="15.75">
      <c r="N762" s="672"/>
    </row>
    <row r="763" ht="15.75">
      <c r="N763" s="672"/>
    </row>
    <row r="764" ht="15.75">
      <c r="N764" s="672"/>
    </row>
    <row r="765" ht="15.75">
      <c r="N765" s="672"/>
    </row>
    <row r="766" ht="15.75">
      <c r="N766" s="672"/>
    </row>
    <row r="767" ht="15.75">
      <c r="N767" s="672"/>
    </row>
    <row r="768" ht="15.75">
      <c r="N768" s="672"/>
    </row>
    <row r="769" ht="15.75">
      <c r="N769" s="672"/>
    </row>
    <row r="770" ht="15.75">
      <c r="N770" s="672"/>
    </row>
    <row r="771" ht="15.75">
      <c r="N771" s="672"/>
    </row>
    <row r="772" ht="15.75">
      <c r="N772" s="672"/>
    </row>
    <row r="773" ht="15.75">
      <c r="N773" s="672"/>
    </row>
    <row r="774" ht="15.75">
      <c r="N774" s="672"/>
    </row>
    <row r="775" ht="15.75">
      <c r="N775" s="672"/>
    </row>
    <row r="776" ht="15.75">
      <c r="N776" s="672"/>
    </row>
    <row r="777" ht="15.75">
      <c r="N777" s="672"/>
    </row>
    <row r="778" ht="15.75">
      <c r="N778" s="672"/>
    </row>
    <row r="779" ht="15.75">
      <c r="N779" s="672"/>
    </row>
    <row r="780" ht="15.75">
      <c r="N780" s="672"/>
    </row>
    <row r="781" ht="15.75">
      <c r="N781" s="672"/>
    </row>
    <row r="782" ht="15.75">
      <c r="N782" s="672"/>
    </row>
    <row r="783" ht="15.75">
      <c r="N783" s="672"/>
    </row>
    <row r="784" ht="15.75">
      <c r="N784" s="672"/>
    </row>
    <row r="785" ht="15.75">
      <c r="N785" s="672"/>
    </row>
    <row r="786" ht="15.75">
      <c r="N786" s="672"/>
    </row>
    <row r="787" ht="15.75">
      <c r="N787" s="672"/>
    </row>
    <row r="788" ht="15.75">
      <c r="N788" s="672"/>
    </row>
    <row r="789" ht="15.75">
      <c r="N789" s="672"/>
    </row>
    <row r="790" ht="15.75">
      <c r="N790" s="672"/>
    </row>
    <row r="791" ht="15.75">
      <c r="N791" s="672"/>
    </row>
    <row r="792" ht="15.75">
      <c r="N792" s="672"/>
    </row>
    <row r="793" ht="15.75">
      <c r="N793" s="672"/>
    </row>
    <row r="794" ht="15.75">
      <c r="N794" s="672"/>
    </row>
    <row r="795" ht="15.75">
      <c r="N795" s="672"/>
    </row>
    <row r="796" ht="15.75">
      <c r="N796" s="672"/>
    </row>
    <row r="797" ht="15.75">
      <c r="N797" s="672"/>
    </row>
    <row r="798" ht="15.75">
      <c r="N798" s="672"/>
    </row>
    <row r="799" ht="15.75">
      <c r="N799" s="672"/>
    </row>
    <row r="800" ht="15.75">
      <c r="N800" s="672"/>
    </row>
    <row r="801" ht="15.75">
      <c r="N801" s="672"/>
    </row>
    <row r="802" ht="15.75">
      <c r="N802" s="672"/>
    </row>
    <row r="803" ht="15.75">
      <c r="N803" s="672"/>
    </row>
    <row r="804" ht="15.75">
      <c r="N804" s="672"/>
    </row>
    <row r="805" ht="15.75">
      <c r="N805" s="672"/>
    </row>
    <row r="806" ht="15.75">
      <c r="N806" s="672"/>
    </row>
    <row r="807" ht="15.75">
      <c r="N807" s="672"/>
    </row>
    <row r="808" ht="15.75">
      <c r="N808" s="672"/>
    </row>
    <row r="809" ht="15.75">
      <c r="N809" s="672"/>
    </row>
    <row r="810" ht="15.75">
      <c r="N810" s="672"/>
    </row>
    <row r="811" ht="15.75">
      <c r="N811" s="672"/>
    </row>
    <row r="812" ht="15.75">
      <c r="N812" s="672"/>
    </row>
    <row r="813" ht="15.75">
      <c r="N813" s="672"/>
    </row>
    <row r="814" ht="15.75">
      <c r="N814" s="672"/>
    </row>
    <row r="815" ht="15.75">
      <c r="N815" s="672"/>
    </row>
    <row r="816" ht="15.75">
      <c r="N816" s="672"/>
    </row>
    <row r="817" ht="15.75">
      <c r="N817" s="672"/>
    </row>
    <row r="818" ht="15.75">
      <c r="N818" s="672"/>
    </row>
    <row r="819" ht="15.75">
      <c r="N819" s="672"/>
    </row>
    <row r="820" ht="15.75">
      <c r="N820" s="672"/>
    </row>
    <row r="821" ht="15.75">
      <c r="N821" s="672"/>
    </row>
    <row r="822" ht="15.75">
      <c r="N822" s="672"/>
    </row>
    <row r="823" ht="15.75">
      <c r="N823" s="672"/>
    </row>
    <row r="824" ht="15.75">
      <c r="N824" s="672"/>
    </row>
    <row r="825" ht="15.75">
      <c r="N825" s="672"/>
    </row>
    <row r="826" ht="15.75">
      <c r="N826" s="672"/>
    </row>
    <row r="827" ht="15.75">
      <c r="N827" s="672"/>
    </row>
    <row r="828" ht="15.75">
      <c r="N828" s="672"/>
    </row>
    <row r="829" ht="15.75">
      <c r="N829" s="672"/>
    </row>
    <row r="830" ht="15.75">
      <c r="N830" s="672"/>
    </row>
    <row r="831" ht="15.75">
      <c r="N831" s="672"/>
    </row>
    <row r="832" ht="15.75">
      <c r="N832" s="672"/>
    </row>
    <row r="833" ht="15.75">
      <c r="N833" s="672"/>
    </row>
    <row r="834" ht="15.75">
      <c r="N834" s="672"/>
    </row>
    <row r="835" ht="15.75">
      <c r="N835" s="672"/>
    </row>
    <row r="836" ht="15.75">
      <c r="N836" s="672"/>
    </row>
    <row r="837" ht="15.75">
      <c r="N837" s="672"/>
    </row>
    <row r="838" ht="15.75">
      <c r="N838" s="672"/>
    </row>
    <row r="839" ht="15.75">
      <c r="N839" s="672"/>
    </row>
    <row r="840" ht="15.75">
      <c r="N840" s="672"/>
    </row>
    <row r="841" ht="15.75">
      <c r="N841" s="672"/>
    </row>
    <row r="842" ht="15.75">
      <c r="N842" s="672"/>
    </row>
    <row r="843" ht="15.75">
      <c r="N843" s="672"/>
    </row>
    <row r="844" ht="15.75">
      <c r="N844" s="672"/>
    </row>
    <row r="845" ht="15.75">
      <c r="N845" s="672"/>
    </row>
    <row r="846" ht="15.75">
      <c r="N846" s="672"/>
    </row>
    <row r="847" ht="15.75">
      <c r="N847" s="672"/>
    </row>
    <row r="848" ht="15.75">
      <c r="N848" s="672"/>
    </row>
    <row r="849" ht="15.75">
      <c r="N849" s="672"/>
    </row>
    <row r="850" ht="15.75">
      <c r="N850" s="672"/>
    </row>
    <row r="851" ht="15.75">
      <c r="N851" s="672"/>
    </row>
    <row r="852" ht="15.75">
      <c r="N852" s="672"/>
    </row>
    <row r="853" ht="15.75">
      <c r="N853" s="672"/>
    </row>
    <row r="854" ht="15.75">
      <c r="N854" s="672"/>
    </row>
    <row r="855" ht="15.75">
      <c r="N855" s="672"/>
    </row>
    <row r="856" ht="15.75">
      <c r="N856" s="672"/>
    </row>
    <row r="857" ht="15.75">
      <c r="N857" s="672"/>
    </row>
    <row r="858" ht="15.75">
      <c r="N858" s="672"/>
    </row>
    <row r="859" ht="15.75">
      <c r="N859" s="672"/>
    </row>
    <row r="860" ht="15.75">
      <c r="N860" s="672"/>
    </row>
    <row r="861" ht="15.75">
      <c r="N861" s="672"/>
    </row>
    <row r="862" ht="15.75">
      <c r="N862" s="672"/>
    </row>
    <row r="863" ht="15.75">
      <c r="N863" s="672"/>
    </row>
    <row r="864" ht="15.75">
      <c r="N864" s="672"/>
    </row>
    <row r="865" ht="15.75">
      <c r="N865" s="672"/>
    </row>
    <row r="866" ht="15.75">
      <c r="N866" s="672"/>
    </row>
    <row r="867" ht="15.75">
      <c r="N867" s="672"/>
    </row>
    <row r="868" ht="15.75">
      <c r="N868" s="672"/>
    </row>
    <row r="869" ht="15.75">
      <c r="N869" s="672"/>
    </row>
    <row r="870" ht="15.75">
      <c r="N870" s="672"/>
    </row>
    <row r="871" ht="15.75">
      <c r="N871" s="672"/>
    </row>
    <row r="872" ht="15.75">
      <c r="N872" s="672"/>
    </row>
    <row r="873" ht="15.75">
      <c r="N873" s="672"/>
    </row>
    <row r="874" ht="15.75">
      <c r="N874" s="672"/>
    </row>
    <row r="875" ht="15.75">
      <c r="N875" s="672"/>
    </row>
    <row r="876" ht="15.75">
      <c r="N876" s="672"/>
    </row>
    <row r="877" ht="15.75">
      <c r="N877" s="672"/>
    </row>
    <row r="878" ht="15.75">
      <c r="N878" s="672"/>
    </row>
    <row r="879" ht="15.75">
      <c r="N879" s="672"/>
    </row>
    <row r="880" ht="15.75">
      <c r="N880" s="672"/>
    </row>
    <row r="881" ht="15.75">
      <c r="N881" s="672"/>
    </row>
    <row r="882" ht="15.75">
      <c r="N882" s="672"/>
    </row>
    <row r="883" ht="15.75">
      <c r="N883" s="672"/>
    </row>
    <row r="884" ht="15.75">
      <c r="N884" s="672"/>
    </row>
    <row r="885" ht="15.75">
      <c r="N885" s="672"/>
    </row>
    <row r="886" ht="15.75">
      <c r="N886" s="672"/>
    </row>
    <row r="887" ht="15.75">
      <c r="N887" s="672"/>
    </row>
    <row r="888" ht="15.75">
      <c r="N888" s="672"/>
    </row>
    <row r="889" ht="15.75">
      <c r="N889" s="672"/>
    </row>
    <row r="890" ht="15.75">
      <c r="N890" s="672"/>
    </row>
    <row r="891" ht="15.75">
      <c r="N891" s="672"/>
    </row>
    <row r="892" ht="15.75">
      <c r="N892" s="672"/>
    </row>
    <row r="893" ht="15.75">
      <c r="N893" s="672"/>
    </row>
    <row r="894" ht="15.75">
      <c r="N894" s="672"/>
    </row>
    <row r="895" ht="15.75">
      <c r="N895" s="672"/>
    </row>
    <row r="896" ht="15.75">
      <c r="N896" s="672"/>
    </row>
    <row r="897" ht="15.75">
      <c r="N897" s="672"/>
    </row>
    <row r="898" ht="15.75">
      <c r="N898" s="672"/>
    </row>
    <row r="899" ht="15.75">
      <c r="N899" s="672"/>
    </row>
    <row r="900" ht="15.75">
      <c r="N900" s="672"/>
    </row>
    <row r="901" ht="15.75">
      <c r="N901" s="672"/>
    </row>
    <row r="902" ht="15.75">
      <c r="N902" s="672"/>
    </row>
    <row r="903" ht="15.75">
      <c r="N903" s="672"/>
    </row>
    <row r="904" ht="15.75">
      <c r="N904" s="672"/>
    </row>
    <row r="905" ht="15.75">
      <c r="N905" s="672"/>
    </row>
    <row r="906" ht="15.75">
      <c r="N906" s="672"/>
    </row>
    <row r="907" ht="15.75">
      <c r="N907" s="672"/>
    </row>
    <row r="908" ht="15.75">
      <c r="N908" s="672"/>
    </row>
    <row r="909" ht="15.75">
      <c r="N909" s="672"/>
    </row>
    <row r="910" ht="15.75">
      <c r="N910" s="672"/>
    </row>
    <row r="911" ht="15.75">
      <c r="N911" s="672"/>
    </row>
    <row r="912" ht="15.75">
      <c r="N912" s="672"/>
    </row>
    <row r="913" ht="15.75">
      <c r="N913" s="672"/>
    </row>
    <row r="914" ht="15.75">
      <c r="N914" s="672"/>
    </row>
    <row r="915" ht="15.75">
      <c r="N915" s="672"/>
    </row>
    <row r="916" ht="15.75">
      <c r="N916" s="672"/>
    </row>
    <row r="917" ht="15.75">
      <c r="N917" s="672"/>
    </row>
    <row r="918" ht="15.75">
      <c r="N918" s="672"/>
    </row>
    <row r="919" ht="15.75">
      <c r="N919" s="672"/>
    </row>
    <row r="920" ht="15.75">
      <c r="N920" s="672"/>
    </row>
    <row r="921" ht="15.75">
      <c r="N921" s="672"/>
    </row>
    <row r="922" ht="15.75">
      <c r="N922" s="672"/>
    </row>
    <row r="923" ht="15.75">
      <c r="N923" s="672"/>
    </row>
    <row r="924" ht="15.75">
      <c r="N924" s="672"/>
    </row>
    <row r="925" ht="15.75">
      <c r="N925" s="672"/>
    </row>
    <row r="926" ht="15.75">
      <c r="N926" s="672"/>
    </row>
    <row r="927" ht="15.75">
      <c r="N927" s="672"/>
    </row>
    <row r="928" ht="15.75">
      <c r="N928" s="672"/>
    </row>
    <row r="929" ht="15.75">
      <c r="N929" s="672"/>
    </row>
    <row r="930" ht="15.75">
      <c r="N930" s="672"/>
    </row>
    <row r="931" ht="15.75">
      <c r="N931" s="672"/>
    </row>
    <row r="932" ht="15.75">
      <c r="N932" s="672"/>
    </row>
    <row r="933" ht="15.75">
      <c r="N933" s="672"/>
    </row>
    <row r="934" ht="15.75">
      <c r="N934" s="672"/>
    </row>
    <row r="935" ht="15.75">
      <c r="N935" s="672"/>
    </row>
    <row r="936" ht="15.75">
      <c r="N936" s="672"/>
    </row>
    <row r="937" ht="15.75">
      <c r="N937" s="672"/>
    </row>
    <row r="938" ht="15.75">
      <c r="N938" s="672"/>
    </row>
    <row r="939" ht="15.75">
      <c r="N939" s="672"/>
    </row>
    <row r="940" ht="15.75">
      <c r="N940" s="672"/>
    </row>
    <row r="941" ht="15.75">
      <c r="N941" s="672"/>
    </row>
    <row r="942" ht="15.75">
      <c r="N942" s="672"/>
    </row>
    <row r="943" ht="15.75">
      <c r="N943" s="672"/>
    </row>
    <row r="944" ht="15.75">
      <c r="N944" s="672"/>
    </row>
    <row r="945" ht="15.75">
      <c r="N945" s="672"/>
    </row>
    <row r="946" ht="15.75">
      <c r="N946" s="672"/>
    </row>
    <row r="947" ht="15.75">
      <c r="N947" s="672"/>
    </row>
    <row r="948" ht="15.75">
      <c r="N948" s="672"/>
    </row>
    <row r="949" ht="15.75">
      <c r="N949" s="672"/>
    </row>
    <row r="950" ht="15.75">
      <c r="N950" s="672"/>
    </row>
    <row r="951" ht="15.75">
      <c r="N951" s="672"/>
    </row>
    <row r="952" ht="15.75">
      <c r="N952" s="672"/>
    </row>
    <row r="953" ht="15.75">
      <c r="N953" s="672"/>
    </row>
    <row r="954" ht="15.75">
      <c r="N954" s="672"/>
    </row>
    <row r="955" ht="15.75">
      <c r="N955" s="672"/>
    </row>
    <row r="956" ht="15.75">
      <c r="N956" s="672"/>
    </row>
    <row r="957" ht="15.75">
      <c r="N957" s="672"/>
    </row>
    <row r="958" ht="15.75">
      <c r="N958" s="672"/>
    </row>
    <row r="959" ht="15.75">
      <c r="N959" s="672"/>
    </row>
    <row r="960" ht="15.75">
      <c r="N960" s="672"/>
    </row>
    <row r="961" ht="15.75">
      <c r="N961" s="672"/>
    </row>
    <row r="962" ht="15.75">
      <c r="N962" s="672"/>
    </row>
    <row r="963" ht="15.75">
      <c r="N963" s="672"/>
    </row>
    <row r="964" ht="15.75">
      <c r="N964" s="672"/>
    </row>
    <row r="965" ht="15.75">
      <c r="N965" s="672"/>
    </row>
    <row r="966" ht="15.75">
      <c r="N966" s="672"/>
    </row>
    <row r="967" ht="15.75">
      <c r="N967" s="672"/>
    </row>
    <row r="968" ht="15.75">
      <c r="N968" s="672"/>
    </row>
    <row r="969" ht="15.75">
      <c r="N969" s="672"/>
    </row>
    <row r="970" ht="15.75">
      <c r="N970" s="672"/>
    </row>
    <row r="971" ht="15.75">
      <c r="N971" s="672"/>
    </row>
    <row r="972" ht="15.75">
      <c r="N972" s="672"/>
    </row>
    <row r="973" ht="15.75">
      <c r="N973" s="672"/>
    </row>
    <row r="974" ht="15.75">
      <c r="N974" s="672"/>
    </row>
    <row r="975" ht="15.75">
      <c r="N975" s="672"/>
    </row>
    <row r="976" ht="15.75">
      <c r="N976" s="672"/>
    </row>
    <row r="977" ht="15.75">
      <c r="N977" s="672"/>
    </row>
    <row r="978" ht="15.75">
      <c r="N978" s="672"/>
    </row>
    <row r="979" ht="15.75">
      <c r="N979" s="672"/>
    </row>
    <row r="980" ht="15.75">
      <c r="N980" s="672"/>
    </row>
    <row r="981" ht="15.75">
      <c r="N981" s="672"/>
    </row>
    <row r="982" ht="15.75">
      <c r="N982" s="672"/>
    </row>
    <row r="983" ht="15.75">
      <c r="N983" s="672"/>
    </row>
    <row r="984" ht="15.75">
      <c r="N984" s="672"/>
    </row>
    <row r="985" ht="15.75">
      <c r="N985" s="672"/>
    </row>
    <row r="986" ht="15.75">
      <c r="N986" s="672"/>
    </row>
    <row r="987" ht="15.75">
      <c r="N987" s="672"/>
    </row>
    <row r="988" ht="15.75">
      <c r="N988" s="672"/>
    </row>
    <row r="989" ht="15.75">
      <c r="N989" s="672"/>
    </row>
    <row r="990" ht="15.75">
      <c r="N990" s="672"/>
    </row>
    <row r="991" ht="15.75">
      <c r="N991" s="672"/>
    </row>
    <row r="992" ht="15.75">
      <c r="N992" s="672"/>
    </row>
    <row r="993" ht="15.75">
      <c r="N993" s="672"/>
    </row>
    <row r="994" ht="15.75">
      <c r="N994" s="672"/>
    </row>
    <row r="995" ht="15.75">
      <c r="N995" s="672"/>
    </row>
    <row r="996" ht="15.75">
      <c r="N996" s="672"/>
    </row>
    <row r="997" ht="15.75">
      <c r="N997" s="672"/>
    </row>
    <row r="998" ht="15.75">
      <c r="N998" s="672"/>
    </row>
    <row r="999" ht="15.75">
      <c r="N999" s="672"/>
    </row>
    <row r="1000" ht="15.75">
      <c r="N1000" s="672"/>
    </row>
    <row r="1001" ht="15.75">
      <c r="N1001" s="672"/>
    </row>
    <row r="1002" ht="15.75">
      <c r="N1002" s="672"/>
    </row>
    <row r="1003" ht="15.75">
      <c r="N1003" s="672"/>
    </row>
    <row r="1004" ht="15.75">
      <c r="N1004" s="672"/>
    </row>
    <row r="1005" ht="15.75">
      <c r="N1005" s="672"/>
    </row>
    <row r="1006" ht="15.75">
      <c r="N1006" s="672"/>
    </row>
    <row r="1007" ht="15.75">
      <c r="N1007" s="672"/>
    </row>
    <row r="1008" ht="15.75">
      <c r="N1008" s="672"/>
    </row>
    <row r="1009" ht="15.75">
      <c r="N1009" s="672"/>
    </row>
    <row r="1010" ht="15.75">
      <c r="N1010" s="672"/>
    </row>
    <row r="1011" ht="15.75">
      <c r="N1011" s="672"/>
    </row>
    <row r="1012" ht="15.75">
      <c r="N1012" s="672"/>
    </row>
    <row r="1013" ht="15.75">
      <c r="N1013" s="672"/>
    </row>
    <row r="1014" ht="15.75">
      <c r="N1014" s="672"/>
    </row>
    <row r="1015" ht="15.75">
      <c r="N1015" s="672"/>
    </row>
    <row r="1016" ht="15.75">
      <c r="N1016" s="672"/>
    </row>
    <row r="1017" ht="15.75">
      <c r="N1017" s="672"/>
    </row>
    <row r="1018" ht="15.75">
      <c r="N1018" s="672"/>
    </row>
    <row r="1019" ht="15.75">
      <c r="N1019" s="672"/>
    </row>
    <row r="1020" ht="15.75">
      <c r="N1020" s="672"/>
    </row>
    <row r="1021" ht="15.75">
      <c r="N1021" s="672"/>
    </row>
    <row r="1022" ht="15.75">
      <c r="N1022" s="672"/>
    </row>
    <row r="1023" ht="15.75">
      <c r="N1023" s="672"/>
    </row>
    <row r="1024" ht="15.75">
      <c r="N1024" s="672"/>
    </row>
    <row r="1025" ht="15.75">
      <c r="N1025" s="672"/>
    </row>
    <row r="1026" ht="15.75">
      <c r="N1026" s="672"/>
    </row>
    <row r="1027" ht="15.75">
      <c r="N1027" s="672"/>
    </row>
    <row r="1028" ht="15.75">
      <c r="N1028" s="672"/>
    </row>
    <row r="1029" ht="15.75">
      <c r="N1029" s="672"/>
    </row>
    <row r="1030" ht="15.75">
      <c r="N1030" s="672"/>
    </row>
    <row r="1031" ht="15.75">
      <c r="N1031" s="672"/>
    </row>
    <row r="1032" ht="15.75">
      <c r="N1032" s="672"/>
    </row>
    <row r="1033" ht="15.75">
      <c r="N1033" s="672"/>
    </row>
    <row r="1034" ht="15.75">
      <c r="N1034" s="672"/>
    </row>
    <row r="1035" ht="15.75">
      <c r="N1035" s="672"/>
    </row>
    <row r="1036" ht="15.75">
      <c r="N1036" s="672"/>
    </row>
    <row r="1037" ht="15.75">
      <c r="N1037" s="672"/>
    </row>
    <row r="1038" ht="15.75">
      <c r="N1038" s="672"/>
    </row>
    <row r="1039" ht="15.75">
      <c r="N1039" s="672"/>
    </row>
    <row r="1040" ht="15.75">
      <c r="N1040" s="672"/>
    </row>
    <row r="1041" ht="15.75">
      <c r="N1041" s="672"/>
    </row>
    <row r="1042" ht="15.75">
      <c r="N1042" s="672"/>
    </row>
    <row r="1043" ht="15.75">
      <c r="N1043" s="672"/>
    </row>
    <row r="1044" ht="15.75">
      <c r="N1044" s="672"/>
    </row>
    <row r="1045" ht="15.75">
      <c r="N1045" s="672"/>
    </row>
    <row r="1046" ht="15.75">
      <c r="N1046" s="672"/>
    </row>
    <row r="1047" ht="15.75">
      <c r="N1047" s="672"/>
    </row>
    <row r="1048" ht="15.75">
      <c r="N1048" s="672"/>
    </row>
    <row r="1049" ht="15.75">
      <c r="N1049" s="672"/>
    </row>
    <row r="1050" ht="15.75">
      <c r="N1050" s="672"/>
    </row>
    <row r="1051" ht="15.75">
      <c r="N1051" s="672"/>
    </row>
    <row r="1052" ht="15.75">
      <c r="N1052" s="672"/>
    </row>
    <row r="1053" ht="15.75">
      <c r="N1053" s="672"/>
    </row>
    <row r="1054" ht="15.75">
      <c r="N1054" s="672"/>
    </row>
    <row r="1055" ht="15.75">
      <c r="N1055" s="672"/>
    </row>
    <row r="1056" ht="15.75">
      <c r="N1056" s="672"/>
    </row>
    <row r="1057" ht="15.75">
      <c r="N1057" s="672"/>
    </row>
    <row r="1058" ht="15.75">
      <c r="N1058" s="672"/>
    </row>
    <row r="1059" ht="15.75">
      <c r="N1059" s="672"/>
    </row>
    <row r="1060" ht="15.75">
      <c r="N1060" s="672"/>
    </row>
    <row r="1061" ht="15.75">
      <c r="N1061" s="672"/>
    </row>
    <row r="1062" ht="15.75">
      <c r="N1062" s="672"/>
    </row>
    <row r="1063" ht="15.75">
      <c r="N1063" s="672"/>
    </row>
    <row r="1064" ht="15.75">
      <c r="N1064" s="672"/>
    </row>
    <row r="1065" ht="15.75">
      <c r="N1065" s="672"/>
    </row>
    <row r="1066" ht="15.75">
      <c r="N1066" s="672"/>
    </row>
    <row r="1067" ht="15.75">
      <c r="N1067" s="672"/>
    </row>
    <row r="1068" ht="15.75">
      <c r="N1068" s="672"/>
    </row>
    <row r="1069" ht="15.75">
      <c r="N1069" s="672"/>
    </row>
    <row r="1070" ht="15.75">
      <c r="N1070" s="672"/>
    </row>
    <row r="1071" ht="15.75">
      <c r="N1071" s="672"/>
    </row>
    <row r="1072" ht="15.75">
      <c r="N1072" s="672"/>
    </row>
    <row r="1073" ht="15.75">
      <c r="N1073" s="672"/>
    </row>
    <row r="1074" ht="15.75">
      <c r="N1074" s="672"/>
    </row>
    <row r="1075" ht="15.75">
      <c r="N1075" s="672"/>
    </row>
    <row r="1076" ht="15.75">
      <c r="N1076" s="672"/>
    </row>
    <row r="1077" ht="15.75">
      <c r="N1077" s="672"/>
    </row>
    <row r="1078" ht="15.75">
      <c r="N1078" s="672"/>
    </row>
    <row r="1079" ht="15.75">
      <c r="N1079" s="672"/>
    </row>
    <row r="1080" ht="15.75">
      <c r="N1080" s="672"/>
    </row>
    <row r="1081" ht="15.75">
      <c r="N1081" s="672"/>
    </row>
    <row r="1082" ht="15.75">
      <c r="N1082" s="672"/>
    </row>
    <row r="1083" ht="15.75">
      <c r="N1083" s="672"/>
    </row>
    <row r="1084" ht="15.75">
      <c r="N1084" s="672"/>
    </row>
    <row r="1085" ht="15.75">
      <c r="N1085" s="672"/>
    </row>
    <row r="1086" ht="15.75">
      <c r="N1086" s="672"/>
    </row>
    <row r="1087" ht="15.75">
      <c r="N1087" s="672"/>
    </row>
    <row r="1088" ht="15.75">
      <c r="N1088" s="672"/>
    </row>
    <row r="1089" ht="15.75">
      <c r="N1089" s="672"/>
    </row>
    <row r="1090" ht="15.75">
      <c r="N1090" s="672"/>
    </row>
    <row r="1091" ht="15.75">
      <c r="N1091" s="672"/>
    </row>
    <row r="1092" ht="15.75">
      <c r="N1092" s="672"/>
    </row>
    <row r="1093" ht="15.75">
      <c r="N1093" s="672"/>
    </row>
    <row r="1094" ht="15.75">
      <c r="N1094" s="672"/>
    </row>
    <row r="1095" ht="15.75">
      <c r="N1095" s="672"/>
    </row>
    <row r="1096" ht="15.75">
      <c r="N1096" s="672"/>
    </row>
    <row r="1097" ht="15.75">
      <c r="N1097" s="672"/>
    </row>
    <row r="1098" ht="15.75">
      <c r="N1098" s="672"/>
    </row>
    <row r="1099" ht="15.75">
      <c r="N1099" s="672"/>
    </row>
    <row r="1100" ht="15.75">
      <c r="N1100" s="672"/>
    </row>
    <row r="1101" ht="15.75">
      <c r="N1101" s="672"/>
    </row>
    <row r="1102" ht="15.75">
      <c r="N1102" s="672"/>
    </row>
    <row r="1103" ht="15.75">
      <c r="N1103" s="672"/>
    </row>
    <row r="1104" ht="15.75">
      <c r="N1104" s="672"/>
    </row>
    <row r="1105" ht="15.75">
      <c r="N1105" s="672"/>
    </row>
    <row r="1106" ht="15.75">
      <c r="N1106" s="672"/>
    </row>
    <row r="1107" ht="15.75">
      <c r="N1107" s="672"/>
    </row>
    <row r="1108" ht="15.75">
      <c r="N1108" s="672"/>
    </row>
    <row r="1109" ht="15.75">
      <c r="N1109" s="672"/>
    </row>
    <row r="1110" ht="15.75">
      <c r="N1110" s="672"/>
    </row>
    <row r="1111" ht="15.75">
      <c r="N1111" s="672"/>
    </row>
    <row r="1112" ht="15.75">
      <c r="N1112" s="672"/>
    </row>
    <row r="1113" ht="15.75">
      <c r="N1113" s="672"/>
    </row>
    <row r="1114" ht="15.75">
      <c r="N1114" s="672"/>
    </row>
    <row r="1115" ht="15.75">
      <c r="N1115" s="672"/>
    </row>
    <row r="1116" ht="15.75">
      <c r="N1116" s="672"/>
    </row>
    <row r="1117" ht="15.75">
      <c r="N1117" s="672"/>
    </row>
    <row r="1118" ht="15.75">
      <c r="N1118" s="672"/>
    </row>
    <row r="1119" ht="15.75">
      <c r="N1119" s="672"/>
    </row>
    <row r="1120" ht="15.75">
      <c r="N1120" s="672"/>
    </row>
    <row r="1121" ht="15.75">
      <c r="N1121" s="672"/>
    </row>
    <row r="1122" ht="15.75">
      <c r="N1122" s="672"/>
    </row>
    <row r="1123" ht="15.75">
      <c r="N1123" s="672"/>
    </row>
    <row r="1124" ht="15.75">
      <c r="N1124" s="672"/>
    </row>
    <row r="1125" ht="15.75">
      <c r="N1125" s="672"/>
    </row>
    <row r="1126" ht="15.75">
      <c r="N1126" s="672"/>
    </row>
    <row r="1127" ht="15.75">
      <c r="N1127" s="672"/>
    </row>
    <row r="1128" ht="15.75">
      <c r="N1128" s="672"/>
    </row>
    <row r="1129" ht="15.75">
      <c r="N1129" s="672"/>
    </row>
    <row r="1130" ht="15.75">
      <c r="N1130" s="672"/>
    </row>
    <row r="1131" ht="15.75">
      <c r="N1131" s="672"/>
    </row>
    <row r="1132" ht="15.75">
      <c r="N1132" s="672"/>
    </row>
    <row r="1133" ht="15.75">
      <c r="N1133" s="672"/>
    </row>
    <row r="1134" ht="15.75">
      <c r="N1134" s="672"/>
    </row>
    <row r="1135" ht="15.75">
      <c r="N1135" s="672"/>
    </row>
    <row r="1136" ht="15.75">
      <c r="N1136" s="672"/>
    </row>
    <row r="1137" ht="15.75">
      <c r="N1137" s="672"/>
    </row>
    <row r="1138" ht="15.75">
      <c r="N1138" s="672"/>
    </row>
    <row r="1139" ht="15.75">
      <c r="N1139" s="672"/>
    </row>
    <row r="1140" ht="15.75">
      <c r="N1140" s="672"/>
    </row>
    <row r="1141" ht="15.75">
      <c r="N1141" s="672"/>
    </row>
    <row r="1142" ht="15.75">
      <c r="N1142" s="672"/>
    </row>
    <row r="1143" ht="15.75">
      <c r="N1143" s="672"/>
    </row>
    <row r="1144" ht="15.75">
      <c r="N1144" s="672"/>
    </row>
    <row r="1145" ht="15.75">
      <c r="N1145" s="672"/>
    </row>
    <row r="1146" ht="15.75">
      <c r="N1146" s="672"/>
    </row>
    <row r="1147" ht="15.75">
      <c r="N1147" s="672"/>
    </row>
    <row r="1148" ht="15.75">
      <c r="N1148" s="672"/>
    </row>
    <row r="1149" ht="15.75">
      <c r="N1149" s="672"/>
    </row>
    <row r="1150" ht="15.75">
      <c r="N1150" s="672"/>
    </row>
    <row r="1151" ht="15.75">
      <c r="N1151" s="672"/>
    </row>
    <row r="1152" ht="15.75">
      <c r="N1152" s="672"/>
    </row>
    <row r="1153" ht="15.75">
      <c r="N1153" s="672"/>
    </row>
    <row r="1154" ht="15.75">
      <c r="N1154" s="672"/>
    </row>
    <row r="1155" ht="15.75">
      <c r="N1155" s="672"/>
    </row>
    <row r="1156" ht="15.75">
      <c r="N1156" s="672"/>
    </row>
    <row r="1157" ht="15.75">
      <c r="N1157" s="672"/>
    </row>
    <row r="1158" ht="15.75">
      <c r="N1158" s="672"/>
    </row>
    <row r="1159" ht="15.75">
      <c r="N1159" s="672"/>
    </row>
    <row r="1160" ht="15.75">
      <c r="N1160" s="672"/>
    </row>
    <row r="1161" ht="15.75">
      <c r="N1161" s="672"/>
    </row>
    <row r="1162" ht="15.75">
      <c r="N1162" s="672"/>
    </row>
    <row r="1163" ht="15.75">
      <c r="N1163" s="672"/>
    </row>
    <row r="1164" ht="15.75">
      <c r="N1164" s="672"/>
    </row>
    <row r="1165" ht="15.75">
      <c r="N1165" s="672"/>
    </row>
    <row r="1166" ht="15.75">
      <c r="N1166" s="672"/>
    </row>
    <row r="1167" ht="15.75">
      <c r="N1167" s="672"/>
    </row>
    <row r="1168" ht="15.75">
      <c r="N1168" s="672"/>
    </row>
    <row r="1169" ht="15.75">
      <c r="N1169" s="672"/>
    </row>
    <row r="1170" ht="15.75">
      <c r="N1170" s="672"/>
    </row>
    <row r="1171" ht="15.75">
      <c r="N1171" s="672"/>
    </row>
    <row r="1172" ht="15.75">
      <c r="N1172" s="672"/>
    </row>
    <row r="1173" ht="15.75">
      <c r="N1173" s="672"/>
    </row>
    <row r="1174" ht="15.75">
      <c r="N1174" s="672"/>
    </row>
    <row r="1175" ht="15.75">
      <c r="N1175" s="672"/>
    </row>
    <row r="1176" ht="15.75">
      <c r="N1176" s="672"/>
    </row>
    <row r="1177" ht="15.75">
      <c r="N1177" s="672"/>
    </row>
    <row r="1178" ht="15.75">
      <c r="N1178" s="672"/>
    </row>
    <row r="1179" ht="15.75">
      <c r="N1179" s="672"/>
    </row>
    <row r="1180" ht="15.75">
      <c r="N1180" s="672"/>
    </row>
    <row r="1181" ht="15.75">
      <c r="N1181" s="672"/>
    </row>
    <row r="1182" ht="15.75">
      <c r="N1182" s="672"/>
    </row>
    <row r="1183" ht="15.75">
      <c r="N1183" s="672"/>
    </row>
    <row r="1184" ht="15.75">
      <c r="N1184" s="672"/>
    </row>
    <row r="1185" ht="15.75">
      <c r="N1185" s="672"/>
    </row>
    <row r="1186" ht="15.75">
      <c r="N1186" s="672"/>
    </row>
    <row r="1187" ht="15.75">
      <c r="N1187" s="672"/>
    </row>
    <row r="1188" ht="15.75">
      <c r="N1188" s="672"/>
    </row>
    <row r="1189" ht="15.75">
      <c r="N1189" s="672"/>
    </row>
    <row r="1190" ht="15.75">
      <c r="N1190" s="672"/>
    </row>
    <row r="1191" ht="15.75">
      <c r="N1191" s="672"/>
    </row>
    <row r="1192" ht="15.75">
      <c r="N1192" s="672"/>
    </row>
    <row r="1193" ht="15.75">
      <c r="N1193" s="672"/>
    </row>
    <row r="1194" ht="15.75">
      <c r="N1194" s="672"/>
    </row>
    <row r="1195" ht="15.75">
      <c r="N1195" s="672"/>
    </row>
    <row r="1196" ht="15.75">
      <c r="N1196" s="672"/>
    </row>
    <row r="1197" ht="15.75">
      <c r="N1197" s="672"/>
    </row>
    <row r="1198" ht="15.75">
      <c r="N1198" s="672"/>
    </row>
    <row r="1199" ht="15.75">
      <c r="N1199" s="672"/>
    </row>
    <row r="1200" ht="15.75">
      <c r="N1200" s="672"/>
    </row>
    <row r="1201" ht="15.75">
      <c r="N1201" s="672"/>
    </row>
    <row r="1202" ht="15.75">
      <c r="N1202" s="672"/>
    </row>
    <row r="1203" ht="15.75">
      <c r="N1203" s="672"/>
    </row>
    <row r="1204" ht="15.75">
      <c r="N1204" s="672"/>
    </row>
    <row r="1205" ht="15.75">
      <c r="N1205" s="672"/>
    </row>
    <row r="1206" ht="15.75">
      <c r="N1206" s="672"/>
    </row>
    <row r="1207" ht="15.75">
      <c r="N1207" s="672"/>
    </row>
    <row r="1208" ht="15.75">
      <c r="N1208" s="672"/>
    </row>
    <row r="1209" ht="15.75">
      <c r="N1209" s="672"/>
    </row>
    <row r="1210" ht="15.75">
      <c r="N1210" s="672"/>
    </row>
    <row r="1211" ht="15.75">
      <c r="N1211" s="672"/>
    </row>
    <row r="1212" ht="15.75">
      <c r="N1212" s="672"/>
    </row>
    <row r="1213" ht="15.75">
      <c r="N1213" s="672"/>
    </row>
    <row r="1214" ht="15.75">
      <c r="N1214" s="672"/>
    </row>
    <row r="1215" ht="15.75">
      <c r="N1215" s="672"/>
    </row>
    <row r="1216" ht="15.75">
      <c r="N1216" s="672"/>
    </row>
    <row r="1217" ht="15.75">
      <c r="N1217" s="672"/>
    </row>
    <row r="1218" ht="15.75">
      <c r="N1218" s="672"/>
    </row>
    <row r="1219" ht="15.75">
      <c r="N1219" s="672"/>
    </row>
    <row r="1220" ht="15.75">
      <c r="N1220" s="672"/>
    </row>
    <row r="1221" ht="15.75">
      <c r="N1221" s="672"/>
    </row>
    <row r="1222" ht="15.75">
      <c r="N1222" s="672"/>
    </row>
    <row r="1223" ht="15.75">
      <c r="N1223" s="672"/>
    </row>
    <row r="1224" ht="15.75">
      <c r="N1224" s="672"/>
    </row>
    <row r="1225" ht="15.75">
      <c r="N1225" s="672"/>
    </row>
    <row r="1226" ht="15.75">
      <c r="N1226" s="672"/>
    </row>
    <row r="1227" ht="15.75">
      <c r="N1227" s="672"/>
    </row>
    <row r="1228" ht="15.75">
      <c r="N1228" s="672"/>
    </row>
    <row r="1229" ht="15.75">
      <c r="N1229" s="672"/>
    </row>
    <row r="1230" ht="15.75">
      <c r="N1230" s="672"/>
    </row>
    <row r="1231" ht="15.75">
      <c r="N1231" s="672"/>
    </row>
    <row r="1232" ht="15.75">
      <c r="N1232" s="672"/>
    </row>
    <row r="1233" ht="15.75">
      <c r="N1233" s="672"/>
    </row>
    <row r="1234" ht="15.75">
      <c r="N1234" s="672"/>
    </row>
    <row r="1235" ht="15.75">
      <c r="N1235" s="672"/>
    </row>
    <row r="1236" ht="15.75">
      <c r="N1236" s="672"/>
    </row>
    <row r="1237" ht="15.75">
      <c r="N1237" s="672"/>
    </row>
    <row r="1238" ht="15.75">
      <c r="N1238" s="672"/>
    </row>
    <row r="1239" ht="15.75">
      <c r="N1239" s="672"/>
    </row>
    <row r="1240" ht="15.75">
      <c r="N1240" s="672"/>
    </row>
    <row r="1241" ht="15.75">
      <c r="N1241" s="672"/>
    </row>
    <row r="1242" ht="15.75">
      <c r="N1242" s="672"/>
    </row>
    <row r="1243" ht="15.75">
      <c r="N1243" s="672"/>
    </row>
    <row r="1244" ht="15.75">
      <c r="N1244" s="672"/>
    </row>
    <row r="1245" ht="15.75">
      <c r="N1245" s="672"/>
    </row>
    <row r="1246" ht="15.75">
      <c r="N1246" s="672"/>
    </row>
    <row r="1247" ht="15.75">
      <c r="N1247" s="672"/>
    </row>
    <row r="1248" ht="15.75">
      <c r="N1248" s="672"/>
    </row>
    <row r="1249" ht="15.75">
      <c r="N1249" s="672"/>
    </row>
    <row r="1250" ht="15.75">
      <c r="N1250" s="672"/>
    </row>
    <row r="1251" ht="15.75">
      <c r="N1251" s="672"/>
    </row>
    <row r="1252" ht="15.75">
      <c r="N1252" s="672"/>
    </row>
    <row r="1253" ht="15.75">
      <c r="N1253" s="672"/>
    </row>
    <row r="1254" ht="15.75">
      <c r="N1254" s="672"/>
    </row>
    <row r="1255" ht="15.75">
      <c r="N1255" s="672"/>
    </row>
    <row r="1256" ht="15.75">
      <c r="N1256" s="672"/>
    </row>
    <row r="1257" ht="15.75">
      <c r="N1257" s="672"/>
    </row>
    <row r="1258" ht="15.75">
      <c r="N1258" s="672"/>
    </row>
    <row r="1259" ht="15.75">
      <c r="N1259" s="672"/>
    </row>
    <row r="1260" ht="15.75">
      <c r="N1260" s="672"/>
    </row>
    <row r="1261" ht="15.75">
      <c r="N1261" s="672"/>
    </row>
    <row r="1262" ht="15.75">
      <c r="N1262" s="672"/>
    </row>
    <row r="1263" ht="15.75">
      <c r="N1263" s="672"/>
    </row>
    <row r="1264" ht="15.75">
      <c r="N1264" s="672"/>
    </row>
    <row r="1265" ht="15.75">
      <c r="N1265" s="672"/>
    </row>
    <row r="1266" ht="15.75">
      <c r="N1266" s="672"/>
    </row>
    <row r="1267" ht="15.75">
      <c r="N1267" s="672"/>
    </row>
    <row r="1268" ht="15.75">
      <c r="N1268" s="672"/>
    </row>
    <row r="1269" ht="15.75">
      <c r="N1269" s="672"/>
    </row>
    <row r="1270" ht="15.75">
      <c r="N1270" s="672"/>
    </row>
    <row r="1271" ht="15.75">
      <c r="N1271" s="672"/>
    </row>
    <row r="1272" ht="15.75">
      <c r="N1272" s="672"/>
    </row>
    <row r="1273" ht="15.75">
      <c r="N1273" s="672"/>
    </row>
    <row r="1274" ht="15.75">
      <c r="N1274" s="672"/>
    </row>
    <row r="1275" ht="15.75">
      <c r="N1275" s="672"/>
    </row>
    <row r="1276" ht="15.75">
      <c r="N1276" s="672"/>
    </row>
    <row r="1277" ht="15.75">
      <c r="N1277" s="672"/>
    </row>
    <row r="1278" ht="15.75">
      <c r="N1278" s="672"/>
    </row>
    <row r="1279" ht="15.75">
      <c r="N1279" s="672"/>
    </row>
    <row r="1280" ht="15.75">
      <c r="N1280" s="672"/>
    </row>
    <row r="1281" ht="15.75">
      <c r="N1281" s="672"/>
    </row>
    <row r="1282" ht="15.75">
      <c r="N1282" s="672"/>
    </row>
    <row r="1283" ht="15.75">
      <c r="N1283" s="672"/>
    </row>
    <row r="1284" ht="15.75">
      <c r="N1284" s="672"/>
    </row>
    <row r="1285" ht="15.75">
      <c r="N1285" s="672"/>
    </row>
    <row r="1286" ht="15.75">
      <c r="N1286" s="672"/>
    </row>
    <row r="1287" ht="15.75">
      <c r="N1287" s="672"/>
    </row>
    <row r="1288" ht="15.75">
      <c r="N1288" s="672"/>
    </row>
    <row r="1289" ht="15.75">
      <c r="N1289" s="672"/>
    </row>
    <row r="1290" ht="15.75">
      <c r="N1290" s="672"/>
    </row>
    <row r="1291" ht="15.75">
      <c r="N1291" s="672"/>
    </row>
    <row r="1292" ht="15.75">
      <c r="N1292" s="672"/>
    </row>
    <row r="1293" ht="15.75">
      <c r="N1293" s="672"/>
    </row>
    <row r="1294" ht="15.75">
      <c r="N1294" s="672"/>
    </row>
    <row r="1295" ht="15.75">
      <c r="N1295" s="672"/>
    </row>
    <row r="1296" ht="15.75">
      <c r="N1296" s="672"/>
    </row>
    <row r="1297" ht="15.75">
      <c r="N1297" s="672"/>
    </row>
    <row r="1298" ht="15.75">
      <c r="N1298" s="672"/>
    </row>
    <row r="1299" ht="15.75">
      <c r="N1299" s="672"/>
    </row>
    <row r="1300" ht="15.75">
      <c r="N1300" s="672"/>
    </row>
    <row r="1301" ht="15.75">
      <c r="N1301" s="672"/>
    </row>
    <row r="1302" ht="15.75">
      <c r="N1302" s="672"/>
    </row>
    <row r="1303" ht="15.75">
      <c r="N1303" s="672"/>
    </row>
    <row r="1304" ht="15.75">
      <c r="N1304" s="672"/>
    </row>
    <row r="1305" ht="15.75">
      <c r="N1305" s="672"/>
    </row>
    <row r="1306" ht="15.75">
      <c r="N1306" s="672"/>
    </row>
    <row r="1307" ht="15.75">
      <c r="N1307" s="672"/>
    </row>
    <row r="1308" ht="15.75">
      <c r="N1308" s="672"/>
    </row>
    <row r="1309" ht="15.75">
      <c r="N1309" s="672"/>
    </row>
    <row r="1310" ht="15.75">
      <c r="N1310" s="672"/>
    </row>
    <row r="1311" ht="15.75">
      <c r="N1311" s="672"/>
    </row>
    <row r="1312" ht="15.75">
      <c r="N1312" s="672"/>
    </row>
    <row r="1313" ht="15.75">
      <c r="N1313" s="672"/>
    </row>
    <row r="1314" ht="15.75">
      <c r="N1314" s="672"/>
    </row>
    <row r="1315" ht="15.75">
      <c r="N1315" s="672"/>
    </row>
    <row r="1316" ht="15.75">
      <c r="N1316" s="672"/>
    </row>
    <row r="1317" ht="15.75">
      <c r="N1317" s="672"/>
    </row>
    <row r="1318" ht="15.75">
      <c r="N1318" s="672"/>
    </row>
    <row r="1319" ht="15.75">
      <c r="N1319" s="672"/>
    </row>
    <row r="1320" ht="15.75">
      <c r="N1320" s="672"/>
    </row>
    <row r="1321" ht="15.75">
      <c r="N1321" s="672"/>
    </row>
    <row r="1322" ht="15.75">
      <c r="N1322" s="672"/>
    </row>
    <row r="1323" ht="15.75">
      <c r="N1323" s="672"/>
    </row>
    <row r="1324" ht="15.75">
      <c r="N1324" s="672"/>
    </row>
    <row r="1325" ht="15.75">
      <c r="N1325" s="672"/>
    </row>
    <row r="1326" ht="15.75">
      <c r="N1326" s="672"/>
    </row>
    <row r="1327" ht="15.75">
      <c r="N1327" s="672"/>
    </row>
    <row r="1328" ht="15.75">
      <c r="N1328" s="672"/>
    </row>
    <row r="1329" ht="15.75">
      <c r="N1329" s="672"/>
    </row>
    <row r="1330" ht="15.75">
      <c r="N1330" s="672"/>
    </row>
    <row r="1331" ht="15.75">
      <c r="N1331" s="672"/>
    </row>
    <row r="1332" ht="15.75">
      <c r="N1332" s="672"/>
    </row>
    <row r="1333" ht="15.75">
      <c r="N1333" s="672"/>
    </row>
    <row r="1334" ht="15.75">
      <c r="N1334" s="672"/>
    </row>
    <row r="1335" ht="15.75">
      <c r="N1335" s="672"/>
    </row>
    <row r="1336" ht="15.75">
      <c r="N1336" s="672"/>
    </row>
    <row r="1337" ht="15.75">
      <c r="N1337" s="672"/>
    </row>
    <row r="1338" ht="15.75">
      <c r="N1338" s="672"/>
    </row>
    <row r="1339" ht="15.75">
      <c r="N1339" s="672"/>
    </row>
    <row r="1340" ht="15.75">
      <c r="N1340" s="672"/>
    </row>
    <row r="1341" ht="15.75">
      <c r="N1341" s="672"/>
    </row>
    <row r="1342" ht="15.75">
      <c r="N1342" s="672"/>
    </row>
    <row r="1343" ht="15.75">
      <c r="N1343" s="672"/>
    </row>
    <row r="1344" ht="15.75">
      <c r="N1344" s="672"/>
    </row>
    <row r="1345" ht="15.75">
      <c r="N1345" s="672"/>
    </row>
    <row r="1346" ht="15.75">
      <c r="N1346" s="672"/>
    </row>
    <row r="1347" ht="15.75">
      <c r="N1347" s="672"/>
    </row>
    <row r="1348" ht="15.75">
      <c r="N1348" s="672"/>
    </row>
    <row r="1349" ht="15.75">
      <c r="N1349" s="672"/>
    </row>
    <row r="1350" ht="15.75">
      <c r="N1350" s="672"/>
    </row>
    <row r="1351" ht="15.75">
      <c r="N1351" s="672"/>
    </row>
    <row r="1352" ht="15.75">
      <c r="N1352" s="672"/>
    </row>
    <row r="1353" ht="15.75">
      <c r="N1353" s="672"/>
    </row>
    <row r="1354" ht="15.75">
      <c r="N1354" s="672"/>
    </row>
    <row r="1355" ht="15.75">
      <c r="N1355" s="672"/>
    </row>
    <row r="1356" ht="15.75">
      <c r="N1356" s="672"/>
    </row>
    <row r="1357" ht="15.75">
      <c r="N1357" s="672"/>
    </row>
    <row r="1358" ht="15.75">
      <c r="N1358" s="672"/>
    </row>
    <row r="1359" ht="15.75">
      <c r="N1359" s="672"/>
    </row>
    <row r="1360" ht="15.75">
      <c r="N1360" s="672"/>
    </row>
    <row r="1361" ht="15.75">
      <c r="N1361" s="672"/>
    </row>
    <row r="1362" ht="15.75">
      <c r="N1362" s="672"/>
    </row>
    <row r="1363" ht="15.75">
      <c r="N1363" s="672"/>
    </row>
    <row r="1364" ht="15.75">
      <c r="N1364" s="672"/>
    </row>
    <row r="1365" ht="15.75">
      <c r="N1365" s="672"/>
    </row>
    <row r="1366" ht="15.75">
      <c r="N1366" s="672"/>
    </row>
    <row r="1367" ht="15.75">
      <c r="N1367" s="672"/>
    </row>
    <row r="1368" ht="15.75">
      <c r="N1368" s="672"/>
    </row>
    <row r="1369" ht="15.75">
      <c r="N1369" s="672"/>
    </row>
    <row r="1370" ht="15.75">
      <c r="N1370" s="672"/>
    </row>
    <row r="1371" ht="15.75">
      <c r="N1371" s="672"/>
    </row>
    <row r="1372" ht="15.75">
      <c r="N1372" s="672"/>
    </row>
    <row r="1373" ht="15.75">
      <c r="N1373" s="672"/>
    </row>
    <row r="1374" ht="15.75">
      <c r="N1374" s="672"/>
    </row>
    <row r="1375" ht="15.75">
      <c r="N1375" s="672"/>
    </row>
    <row r="1376" ht="15.75">
      <c r="N1376" s="672"/>
    </row>
    <row r="1377" ht="15.75">
      <c r="N1377" s="672"/>
    </row>
    <row r="1378" ht="15.75">
      <c r="N1378" s="672"/>
    </row>
    <row r="1379" ht="15.75">
      <c r="N1379" s="672"/>
    </row>
    <row r="1380" ht="15.75">
      <c r="N1380" s="672"/>
    </row>
    <row r="1381" ht="15.75">
      <c r="N1381" s="672"/>
    </row>
    <row r="1382" ht="15.75">
      <c r="N1382" s="672"/>
    </row>
    <row r="1383" ht="15.75">
      <c r="N1383" s="672"/>
    </row>
    <row r="1384" ht="15.75">
      <c r="N1384" s="672"/>
    </row>
    <row r="1385" ht="15.75">
      <c r="N1385" s="672"/>
    </row>
    <row r="1386" ht="15.75">
      <c r="N1386" s="672"/>
    </row>
    <row r="1387" ht="15.75">
      <c r="N1387" s="672"/>
    </row>
    <row r="1388" ht="15.75">
      <c r="N1388" s="672"/>
    </row>
    <row r="1389" ht="15.75">
      <c r="N1389" s="672"/>
    </row>
    <row r="1390" ht="15.75">
      <c r="N1390" s="672"/>
    </row>
    <row r="1391" ht="15.75">
      <c r="N1391" s="672"/>
    </row>
    <row r="1392" ht="15.75">
      <c r="N1392" s="672"/>
    </row>
    <row r="1393" ht="15.75">
      <c r="N1393" s="672"/>
    </row>
    <row r="1394" ht="15.75">
      <c r="N1394" s="672"/>
    </row>
    <row r="1395" ht="15.75">
      <c r="N1395" s="672"/>
    </row>
    <row r="1396" ht="15.75">
      <c r="N1396" s="672"/>
    </row>
    <row r="1397" ht="15.75">
      <c r="N1397" s="672"/>
    </row>
    <row r="1398" ht="15.75">
      <c r="N1398" s="672"/>
    </row>
    <row r="1399" ht="15.75">
      <c r="N1399" s="672"/>
    </row>
    <row r="1400" ht="15.75">
      <c r="N1400" s="672"/>
    </row>
    <row r="1401" ht="15.75">
      <c r="N1401" s="672"/>
    </row>
    <row r="1402" ht="15.75">
      <c r="N1402" s="672"/>
    </row>
    <row r="1403" ht="15.75">
      <c r="N1403" s="672"/>
    </row>
    <row r="1404" ht="15.75">
      <c r="N1404" s="672"/>
    </row>
    <row r="1405" ht="15.75">
      <c r="N1405" s="672"/>
    </row>
    <row r="1406" ht="15.75">
      <c r="N1406" s="672"/>
    </row>
    <row r="1407" ht="15.75">
      <c r="N1407" s="672"/>
    </row>
    <row r="1408" ht="15.75">
      <c r="N1408" s="672"/>
    </row>
    <row r="1409" ht="15.75">
      <c r="N1409" s="672"/>
    </row>
    <row r="1410" ht="15.75">
      <c r="N1410" s="672"/>
    </row>
    <row r="1411" ht="15.75">
      <c r="N1411" s="672"/>
    </row>
    <row r="1412" ht="15.75">
      <c r="N1412" s="672"/>
    </row>
    <row r="1413" ht="15.75">
      <c r="N1413" s="672"/>
    </row>
    <row r="1414" ht="15.75">
      <c r="N1414" s="672"/>
    </row>
    <row r="1415" ht="15.75">
      <c r="N1415" s="672"/>
    </row>
    <row r="1416" ht="15.75">
      <c r="N1416" s="672"/>
    </row>
    <row r="1417" ht="15.75">
      <c r="N1417" s="672"/>
    </row>
    <row r="1418" ht="15.75">
      <c r="N1418" s="672"/>
    </row>
    <row r="1419" ht="15.75">
      <c r="N1419" s="672"/>
    </row>
    <row r="1420" ht="15.75">
      <c r="N1420" s="672"/>
    </row>
    <row r="1421" ht="15.75">
      <c r="N1421" s="672"/>
    </row>
    <row r="1422" ht="15.75">
      <c r="N1422" s="672"/>
    </row>
    <row r="1423" ht="15.75">
      <c r="N1423" s="672"/>
    </row>
    <row r="1424" ht="15.75">
      <c r="N1424" s="672"/>
    </row>
    <row r="1425" ht="15.75">
      <c r="N1425" s="672"/>
    </row>
    <row r="1426" ht="15.75">
      <c r="N1426" s="672"/>
    </row>
    <row r="1427" ht="15.75">
      <c r="N1427" s="672"/>
    </row>
    <row r="1428" ht="15.75">
      <c r="N1428" s="672"/>
    </row>
    <row r="1429" ht="15.75">
      <c r="N1429" s="672"/>
    </row>
    <row r="1430" ht="15.75">
      <c r="N1430" s="672"/>
    </row>
    <row r="1431" ht="15.75">
      <c r="N1431" s="672"/>
    </row>
    <row r="1432" ht="15.75">
      <c r="N1432" s="672"/>
    </row>
    <row r="1433" ht="15.75">
      <c r="N1433" s="672"/>
    </row>
    <row r="1434" ht="15.75">
      <c r="N1434" s="672"/>
    </row>
    <row r="1435" ht="15.75">
      <c r="N1435" s="672"/>
    </row>
    <row r="1436" ht="15.75">
      <c r="N1436" s="672"/>
    </row>
    <row r="1437" ht="15.75">
      <c r="N1437" s="672"/>
    </row>
    <row r="1438" ht="15.75">
      <c r="N1438" s="672"/>
    </row>
    <row r="1439" ht="15.75">
      <c r="N1439" s="672"/>
    </row>
    <row r="1440" ht="15.75">
      <c r="N1440" s="672"/>
    </row>
    <row r="1441" ht="15.75">
      <c r="N1441" s="672"/>
    </row>
    <row r="1442" ht="15.75">
      <c r="N1442" s="672"/>
    </row>
    <row r="1443" ht="15.75">
      <c r="N1443" s="672"/>
    </row>
    <row r="1444" ht="15.75">
      <c r="N1444" s="672"/>
    </row>
    <row r="1445" ht="15.75">
      <c r="N1445" s="672"/>
    </row>
    <row r="1446" ht="15.75">
      <c r="N1446" s="672"/>
    </row>
    <row r="1447" ht="15.75">
      <c r="N1447" s="672"/>
    </row>
    <row r="1448" ht="15.75">
      <c r="N1448" s="672"/>
    </row>
    <row r="1449" ht="15.75">
      <c r="N1449" s="672"/>
    </row>
    <row r="1450" ht="15.75">
      <c r="N1450" s="672"/>
    </row>
    <row r="1451" ht="15.75">
      <c r="N1451" s="672"/>
    </row>
    <row r="1452" ht="15.75">
      <c r="N1452" s="672"/>
    </row>
    <row r="1453" ht="15.75">
      <c r="N1453" s="672"/>
    </row>
    <row r="1454" ht="15.75">
      <c r="N1454" s="672"/>
    </row>
    <row r="1455" ht="15.75">
      <c r="N1455" s="672"/>
    </row>
    <row r="1456" ht="15.75">
      <c r="N1456" s="672"/>
    </row>
    <row r="1457" ht="15.75">
      <c r="N1457" s="672"/>
    </row>
    <row r="1458" ht="15.75">
      <c r="N1458" s="672"/>
    </row>
    <row r="1459" ht="15.75">
      <c r="N1459" s="672"/>
    </row>
    <row r="1460" ht="15.75">
      <c r="N1460" s="672"/>
    </row>
    <row r="1461" ht="15.75">
      <c r="N1461" s="672"/>
    </row>
    <row r="1462" ht="15.75">
      <c r="N1462" s="672"/>
    </row>
    <row r="1463" ht="15.75">
      <c r="N1463" s="672"/>
    </row>
    <row r="1464" ht="15.75">
      <c r="N1464" s="672"/>
    </row>
    <row r="1465" ht="15.75">
      <c r="N1465" s="672"/>
    </row>
    <row r="1466" ht="15.75">
      <c r="N1466" s="672"/>
    </row>
    <row r="1467" ht="15.75">
      <c r="N1467" s="672"/>
    </row>
    <row r="1468" ht="15.75">
      <c r="N1468" s="672"/>
    </row>
    <row r="1469" ht="15.75">
      <c r="N1469" s="672"/>
    </row>
    <row r="1470" ht="15.75">
      <c r="N1470" s="672"/>
    </row>
    <row r="1471" ht="15.75">
      <c r="N1471" s="672"/>
    </row>
    <row r="1472" ht="15.75">
      <c r="N1472" s="672"/>
    </row>
    <row r="1473" ht="15.75">
      <c r="N1473" s="672"/>
    </row>
    <row r="1474" ht="15.75">
      <c r="N1474" s="672"/>
    </row>
    <row r="1475" ht="15.75">
      <c r="N1475" s="672"/>
    </row>
    <row r="1476" ht="15.75">
      <c r="N1476" s="672"/>
    </row>
    <row r="1477" ht="15.75">
      <c r="N1477" s="672"/>
    </row>
    <row r="1478" ht="15.75">
      <c r="N1478" s="672"/>
    </row>
    <row r="1479" ht="15.75">
      <c r="N1479" s="672"/>
    </row>
    <row r="1480" ht="15.75">
      <c r="N1480" s="672"/>
    </row>
    <row r="1481" ht="15.75">
      <c r="N1481" s="672"/>
    </row>
    <row r="1482" ht="15.75">
      <c r="N1482" s="672"/>
    </row>
    <row r="1483" ht="15.75">
      <c r="N1483" s="672"/>
    </row>
    <row r="1484" ht="15.75">
      <c r="N1484" s="672"/>
    </row>
    <row r="1485" ht="15.75">
      <c r="N1485" s="672"/>
    </row>
    <row r="1486" ht="15.75">
      <c r="N1486" s="672"/>
    </row>
    <row r="1487" ht="15.75">
      <c r="N1487" s="672"/>
    </row>
    <row r="1488" ht="15.75">
      <c r="N1488" s="672"/>
    </row>
    <row r="1489" ht="15.75">
      <c r="N1489" s="672"/>
    </row>
    <row r="1490" ht="15.75">
      <c r="N1490" s="672"/>
    </row>
    <row r="1491" ht="15.75">
      <c r="N1491" s="672"/>
    </row>
    <row r="1492" ht="15.75">
      <c r="N1492" s="672"/>
    </row>
    <row r="1493" ht="15.75">
      <c r="N1493" s="672"/>
    </row>
    <row r="1494" ht="15.75">
      <c r="N1494" s="672"/>
    </row>
    <row r="1495" ht="15.75">
      <c r="N1495" s="672"/>
    </row>
    <row r="1496" ht="15.75">
      <c r="N1496" s="672"/>
    </row>
    <row r="1497" ht="15.75">
      <c r="N1497" s="672"/>
    </row>
    <row r="1498" ht="15.75">
      <c r="N1498" s="672"/>
    </row>
    <row r="1499" ht="15.75">
      <c r="N1499" s="672"/>
    </row>
    <row r="1500" ht="15.75">
      <c r="N1500" s="672"/>
    </row>
    <row r="1501" ht="15.75">
      <c r="N1501" s="672"/>
    </row>
    <row r="1502" ht="15.75">
      <c r="N1502" s="672"/>
    </row>
    <row r="1503" ht="15.75">
      <c r="N1503" s="672"/>
    </row>
    <row r="1504" ht="15.75">
      <c r="N1504" s="672"/>
    </row>
    <row r="1505" ht="15.75">
      <c r="N1505" s="672"/>
    </row>
    <row r="1506" ht="15.75">
      <c r="N1506" s="672"/>
    </row>
    <row r="1507" ht="15.75">
      <c r="N1507" s="672"/>
    </row>
    <row r="1508" ht="15.75">
      <c r="N1508" s="672"/>
    </row>
    <row r="1509" ht="15.75">
      <c r="N1509" s="672"/>
    </row>
    <row r="1510" ht="15.75">
      <c r="N1510" s="672"/>
    </row>
    <row r="1511" ht="15.75">
      <c r="N1511" s="672"/>
    </row>
    <row r="1512" ht="15.75">
      <c r="N1512" s="672"/>
    </row>
    <row r="1513" ht="15.75">
      <c r="N1513" s="672"/>
    </row>
    <row r="1514" ht="15.75">
      <c r="N1514" s="672"/>
    </row>
    <row r="1515" ht="15.75">
      <c r="N1515" s="672"/>
    </row>
    <row r="1516" ht="15.75">
      <c r="N1516" s="672"/>
    </row>
    <row r="1517" ht="15.75">
      <c r="N1517" s="672"/>
    </row>
    <row r="1518" ht="15.75">
      <c r="N1518" s="672"/>
    </row>
    <row r="1519" ht="15.75">
      <c r="N1519" s="672"/>
    </row>
    <row r="1520" ht="15.75">
      <c r="N1520" s="672"/>
    </row>
    <row r="1521" ht="15.75">
      <c r="N1521" s="672"/>
    </row>
    <row r="1522" ht="15.75">
      <c r="N1522" s="672"/>
    </row>
    <row r="1523" ht="15.75">
      <c r="N1523" s="672"/>
    </row>
    <row r="1524" ht="15.75">
      <c r="N1524" s="672"/>
    </row>
    <row r="1525" ht="15.75">
      <c r="N1525" s="672"/>
    </row>
    <row r="1526" ht="15.75">
      <c r="N1526" s="672"/>
    </row>
    <row r="1527" ht="15.75">
      <c r="N1527" s="672"/>
    </row>
    <row r="1528" ht="15.75">
      <c r="N1528" s="672"/>
    </row>
    <row r="1529" ht="15.75">
      <c r="N1529" s="672"/>
    </row>
    <row r="1530" ht="15.75">
      <c r="N1530" s="672"/>
    </row>
    <row r="1531" ht="15.75">
      <c r="N1531" s="672"/>
    </row>
    <row r="1532" ht="15.75">
      <c r="N1532" s="672"/>
    </row>
    <row r="1533" ht="15.75">
      <c r="N1533" s="672"/>
    </row>
    <row r="1534" ht="15.75">
      <c r="N1534" s="672"/>
    </row>
    <row r="1535" ht="15.75">
      <c r="N1535" s="672"/>
    </row>
    <row r="1536" ht="15.75">
      <c r="N1536" s="672"/>
    </row>
    <row r="1537" ht="15.75">
      <c r="N1537" s="672"/>
    </row>
    <row r="1538" ht="15.75">
      <c r="N1538" s="672"/>
    </row>
    <row r="1539" ht="15.75">
      <c r="N1539" s="672"/>
    </row>
    <row r="1540" ht="15.75">
      <c r="N1540" s="672"/>
    </row>
    <row r="1541" ht="15.75">
      <c r="N1541" s="672"/>
    </row>
    <row r="1542" ht="15.75">
      <c r="N1542" s="672"/>
    </row>
    <row r="1543" ht="15.75">
      <c r="N1543" s="672"/>
    </row>
    <row r="1544" ht="15.75">
      <c r="N1544" s="672"/>
    </row>
    <row r="1545" ht="15.75">
      <c r="N1545" s="672"/>
    </row>
    <row r="1546" ht="15.75">
      <c r="N1546" s="672"/>
    </row>
    <row r="1547" ht="15.75">
      <c r="N1547" s="672"/>
    </row>
    <row r="1548" ht="15.75">
      <c r="N1548" s="672"/>
    </row>
    <row r="1549" ht="15.75">
      <c r="N1549" s="672"/>
    </row>
    <row r="1550" ht="15.75">
      <c r="N1550" s="672"/>
    </row>
    <row r="1551" ht="15.75">
      <c r="N1551" s="672"/>
    </row>
    <row r="1552" ht="15.75">
      <c r="N1552" s="672"/>
    </row>
    <row r="1553" ht="15.75">
      <c r="N1553" s="672"/>
    </row>
    <row r="1554" ht="15.75">
      <c r="N1554" s="672"/>
    </row>
    <row r="1555" ht="15.75">
      <c r="N1555" s="672"/>
    </row>
    <row r="1556" ht="15.75">
      <c r="N1556" s="672"/>
    </row>
    <row r="1557" ht="15.75">
      <c r="N1557" s="672"/>
    </row>
    <row r="1558" ht="15.75">
      <c r="N1558" s="672"/>
    </row>
    <row r="1559" ht="15.75">
      <c r="N1559" s="672"/>
    </row>
    <row r="1560" ht="15.75">
      <c r="N1560" s="672"/>
    </row>
    <row r="1561" ht="15.75">
      <c r="N1561" s="672"/>
    </row>
    <row r="1562" ht="15.75">
      <c r="N1562" s="672"/>
    </row>
    <row r="1563" ht="15.75">
      <c r="N1563" s="672"/>
    </row>
    <row r="1564" ht="15.75">
      <c r="N1564" s="672"/>
    </row>
    <row r="1565" ht="15.75">
      <c r="N1565" s="672"/>
    </row>
    <row r="1566" ht="15.75">
      <c r="N1566" s="672"/>
    </row>
    <row r="1567" ht="15.75">
      <c r="N1567" s="672"/>
    </row>
    <row r="1568" ht="15.75">
      <c r="N1568" s="672"/>
    </row>
    <row r="1569" ht="15.75">
      <c r="N1569" s="672"/>
    </row>
    <row r="1570" ht="15.75">
      <c r="N1570" s="672"/>
    </row>
    <row r="1571" ht="15.75">
      <c r="N1571" s="672"/>
    </row>
    <row r="1572" ht="15.75">
      <c r="N1572" s="672"/>
    </row>
    <row r="1573" ht="15.75">
      <c r="N1573" s="672"/>
    </row>
    <row r="1574" ht="15.75">
      <c r="N1574" s="672"/>
    </row>
    <row r="1575" ht="15.75">
      <c r="N1575" s="672"/>
    </row>
    <row r="1576" ht="15.75">
      <c r="N1576" s="672"/>
    </row>
    <row r="1577" ht="15.75">
      <c r="N1577" s="672"/>
    </row>
    <row r="1578" ht="15.75">
      <c r="N1578" s="672"/>
    </row>
    <row r="1579" ht="15.75">
      <c r="N1579" s="672"/>
    </row>
    <row r="1580" ht="15.75">
      <c r="N1580" s="672"/>
    </row>
    <row r="1581" ht="15.75">
      <c r="N1581" s="672"/>
    </row>
    <row r="1582" ht="15.75">
      <c r="N1582" s="672"/>
    </row>
    <row r="1583" ht="15.75">
      <c r="N1583" s="672"/>
    </row>
    <row r="1584" ht="15.75">
      <c r="N1584" s="672"/>
    </row>
    <row r="1585" ht="15.75">
      <c r="N1585" s="672"/>
    </row>
    <row r="1586" ht="15.75">
      <c r="N1586" s="672"/>
    </row>
    <row r="1587" ht="15.75">
      <c r="N1587" s="672"/>
    </row>
    <row r="1588" ht="15.75">
      <c r="N1588" s="672"/>
    </row>
    <row r="1589" ht="15.75">
      <c r="N1589" s="672"/>
    </row>
    <row r="1590" ht="15.75">
      <c r="N1590" s="672"/>
    </row>
    <row r="1591" ht="15.75">
      <c r="N1591" s="672"/>
    </row>
    <row r="1592" ht="15.75">
      <c r="N1592" s="672"/>
    </row>
    <row r="1593" ht="15.75">
      <c r="N1593" s="672"/>
    </row>
    <row r="1594" ht="15.75">
      <c r="N1594" s="672"/>
    </row>
    <row r="1595" ht="15.75">
      <c r="N1595" s="672"/>
    </row>
    <row r="1596" ht="15.75">
      <c r="N1596" s="672"/>
    </row>
    <row r="1597" ht="15.75">
      <c r="N1597" s="672"/>
    </row>
    <row r="1598" ht="15.75">
      <c r="N1598" s="672"/>
    </row>
    <row r="1599" ht="15.75">
      <c r="N1599" s="672"/>
    </row>
    <row r="1600" ht="15.75">
      <c r="N1600" s="672"/>
    </row>
    <row r="1601" ht="15.75">
      <c r="N1601" s="672"/>
    </row>
    <row r="1602" ht="15.75">
      <c r="N1602" s="672"/>
    </row>
    <row r="1603" ht="15.75">
      <c r="N1603" s="672"/>
    </row>
    <row r="1604" ht="15.75">
      <c r="N1604" s="672"/>
    </row>
    <row r="1605" ht="15.75">
      <c r="N1605" s="672"/>
    </row>
    <row r="1606" ht="15.75">
      <c r="N1606" s="672"/>
    </row>
    <row r="1607" ht="15.75">
      <c r="N1607" s="672"/>
    </row>
    <row r="1608" ht="15.75">
      <c r="N1608" s="672"/>
    </row>
    <row r="1609" ht="15.75">
      <c r="N1609" s="672"/>
    </row>
    <row r="1610" ht="15.75">
      <c r="N1610" s="672"/>
    </row>
    <row r="1611" ht="15.75">
      <c r="N1611" s="672"/>
    </row>
    <row r="1612" ht="15.75">
      <c r="N1612" s="672"/>
    </row>
    <row r="1613" ht="15.75">
      <c r="N1613" s="672"/>
    </row>
    <row r="1614" ht="15.75">
      <c r="N1614" s="672"/>
    </row>
    <row r="1615" ht="15.75">
      <c r="N1615" s="672"/>
    </row>
    <row r="1616" ht="15.75">
      <c r="N1616" s="672"/>
    </row>
    <row r="1617" ht="15.75">
      <c r="N1617" s="672"/>
    </row>
    <row r="1618" ht="15.75">
      <c r="N1618" s="672"/>
    </row>
    <row r="1619" ht="15.75">
      <c r="N1619" s="672"/>
    </row>
    <row r="1620" ht="15.75">
      <c r="N1620" s="672"/>
    </row>
    <row r="1621" ht="15.75">
      <c r="N1621" s="672"/>
    </row>
    <row r="1622" ht="15.75">
      <c r="N1622" s="672"/>
    </row>
    <row r="1623" ht="15.75">
      <c r="N1623" s="672"/>
    </row>
    <row r="1624" ht="15.75">
      <c r="N1624" s="672"/>
    </row>
    <row r="1625" ht="15.75">
      <c r="N1625" s="672"/>
    </row>
    <row r="1626" ht="15.75">
      <c r="N1626" s="672"/>
    </row>
    <row r="1627" ht="15.75">
      <c r="N1627" s="672"/>
    </row>
    <row r="1628" ht="15.75">
      <c r="N1628" s="672"/>
    </row>
    <row r="1629" ht="15.75">
      <c r="N1629" s="672"/>
    </row>
    <row r="1630" ht="15.75">
      <c r="N1630" s="672"/>
    </row>
    <row r="1631" ht="15.75">
      <c r="N1631" s="672"/>
    </row>
    <row r="1632" ht="15.75">
      <c r="N1632" s="672"/>
    </row>
    <row r="1633" ht="15.75">
      <c r="N1633" s="672"/>
    </row>
    <row r="1634" ht="15.75">
      <c r="N1634" s="672"/>
    </row>
    <row r="1635" ht="15.75">
      <c r="N1635" s="672"/>
    </row>
    <row r="1636" ht="15.75">
      <c r="N1636" s="672"/>
    </row>
    <row r="1637" ht="15.75">
      <c r="N1637" s="672"/>
    </row>
    <row r="1638" ht="15.75">
      <c r="N1638" s="672"/>
    </row>
    <row r="1639" ht="15.75">
      <c r="N1639" s="672"/>
    </row>
    <row r="1640" ht="15.75">
      <c r="N1640" s="672"/>
    </row>
    <row r="1641" ht="15.75">
      <c r="N1641" s="672"/>
    </row>
    <row r="1642" ht="15.75">
      <c r="N1642" s="672"/>
    </row>
    <row r="1643" ht="15.75">
      <c r="N1643" s="672"/>
    </row>
    <row r="1644" ht="15.75">
      <c r="N1644" s="672"/>
    </row>
    <row r="1645" ht="15.75">
      <c r="N1645" s="672"/>
    </row>
    <row r="1646" ht="15.75">
      <c r="N1646" s="672"/>
    </row>
    <row r="1647" ht="15.75">
      <c r="N1647" s="672"/>
    </row>
    <row r="1648" ht="15.75">
      <c r="N1648" s="672"/>
    </row>
    <row r="1649" ht="15.75">
      <c r="N1649" s="672"/>
    </row>
    <row r="1650" ht="15.75">
      <c r="N1650" s="672"/>
    </row>
    <row r="1651" ht="15.75">
      <c r="N1651" s="672"/>
    </row>
    <row r="1652" ht="15.75">
      <c r="N1652" s="672"/>
    </row>
    <row r="1653" ht="15.75">
      <c r="N1653" s="672"/>
    </row>
    <row r="1654" ht="15.75">
      <c r="N1654" s="672"/>
    </row>
    <row r="1655" ht="15.75">
      <c r="N1655" s="672"/>
    </row>
    <row r="1656" ht="15.75">
      <c r="N1656" s="672"/>
    </row>
    <row r="1657" ht="15.75">
      <c r="N1657" s="672"/>
    </row>
    <row r="1658" ht="15.75">
      <c r="N1658" s="672"/>
    </row>
    <row r="1659" ht="15.75">
      <c r="N1659" s="672"/>
    </row>
    <row r="1660" ht="15.75">
      <c r="N1660" s="672"/>
    </row>
    <row r="1661" ht="15.75">
      <c r="N1661" s="672"/>
    </row>
    <row r="1662" ht="15.75">
      <c r="N1662" s="672"/>
    </row>
    <row r="1663" ht="15.75">
      <c r="N1663" s="672"/>
    </row>
    <row r="1664" ht="15.75">
      <c r="N1664" s="672"/>
    </row>
    <row r="1665" ht="15.75">
      <c r="N1665" s="672"/>
    </row>
    <row r="1666" ht="15.75">
      <c r="N1666" s="672"/>
    </row>
    <row r="1667" ht="15.75">
      <c r="N1667" s="672"/>
    </row>
    <row r="1668" ht="15.75">
      <c r="N1668" s="672"/>
    </row>
    <row r="1669" ht="15.75">
      <c r="N1669" s="672"/>
    </row>
    <row r="1670" ht="15.75">
      <c r="N1670" s="672"/>
    </row>
    <row r="1671" ht="15.75">
      <c r="N1671" s="672"/>
    </row>
    <row r="1672" ht="15.75">
      <c r="N1672" s="672"/>
    </row>
    <row r="1673" ht="15.75">
      <c r="N1673" s="672"/>
    </row>
    <row r="1674" ht="15.75">
      <c r="N1674" s="672"/>
    </row>
    <row r="1675" ht="15.75">
      <c r="N1675" s="672"/>
    </row>
    <row r="1676" ht="15.75">
      <c r="N1676" s="672"/>
    </row>
    <row r="1677" ht="15.75">
      <c r="N1677" s="672"/>
    </row>
    <row r="1678" ht="15.75">
      <c r="N1678" s="672"/>
    </row>
    <row r="1679" ht="15.75">
      <c r="N1679" s="672"/>
    </row>
    <row r="1680" ht="15.75">
      <c r="N1680" s="672"/>
    </row>
    <row r="1681" ht="15.75">
      <c r="N1681" s="672"/>
    </row>
    <row r="1682" ht="15.75">
      <c r="N1682" s="672"/>
    </row>
    <row r="1683" ht="15.75">
      <c r="N1683" s="672"/>
    </row>
    <row r="1684" ht="15.75">
      <c r="N1684" s="672"/>
    </row>
    <row r="1685" ht="15.75">
      <c r="N1685" s="672"/>
    </row>
    <row r="1686" ht="15.75">
      <c r="N1686" s="672"/>
    </row>
    <row r="1687" ht="15.75">
      <c r="N1687" s="672"/>
    </row>
    <row r="1688" ht="15.75">
      <c r="N1688" s="672"/>
    </row>
    <row r="1689" ht="15.75">
      <c r="N1689" s="672"/>
    </row>
    <row r="1690" ht="15.75">
      <c r="N1690" s="672"/>
    </row>
    <row r="1691" ht="15.75">
      <c r="N1691" s="672"/>
    </row>
    <row r="1692" ht="15.75">
      <c r="N1692" s="672"/>
    </row>
    <row r="1693" ht="15.75">
      <c r="N1693" s="672"/>
    </row>
    <row r="1694" ht="15.75">
      <c r="N1694" s="672"/>
    </row>
    <row r="1695" ht="15.75">
      <c r="N1695" s="672"/>
    </row>
    <row r="1696" ht="15.75">
      <c r="N1696" s="672"/>
    </row>
    <row r="1697" ht="15.75">
      <c r="N1697" s="672"/>
    </row>
    <row r="1698" ht="15.75">
      <c r="N1698" s="672"/>
    </row>
    <row r="1699" ht="15.75">
      <c r="N1699" s="672"/>
    </row>
    <row r="1700" ht="15.75">
      <c r="N1700" s="672"/>
    </row>
    <row r="1701" ht="15.75">
      <c r="N1701" s="672"/>
    </row>
    <row r="1702" ht="15.75">
      <c r="N1702" s="672"/>
    </row>
    <row r="1703" ht="15.75">
      <c r="N1703" s="672"/>
    </row>
    <row r="1704" ht="15.75">
      <c r="N1704" s="672"/>
    </row>
    <row r="1705" ht="15.75">
      <c r="N1705" s="672"/>
    </row>
    <row r="1706" ht="15.75">
      <c r="N1706" s="672"/>
    </row>
    <row r="1707" ht="15.75">
      <c r="N1707" s="672"/>
    </row>
    <row r="1708" ht="15.75">
      <c r="N1708" s="672"/>
    </row>
    <row r="1709" ht="15.75">
      <c r="N1709" s="672"/>
    </row>
    <row r="1710" ht="15.75">
      <c r="N1710" s="672"/>
    </row>
    <row r="1711" ht="15.75">
      <c r="N1711" s="672"/>
    </row>
    <row r="1712" ht="15.75">
      <c r="N1712" s="672"/>
    </row>
    <row r="1713" ht="15.75">
      <c r="N1713" s="672"/>
    </row>
    <row r="1714" ht="15.75">
      <c r="N1714" s="672"/>
    </row>
    <row r="1715" ht="15.75">
      <c r="N1715" s="672"/>
    </row>
    <row r="1716" ht="15.75">
      <c r="N1716" s="672"/>
    </row>
    <row r="1717" ht="15.75">
      <c r="N1717" s="672"/>
    </row>
    <row r="1718" ht="15.75">
      <c r="N1718" s="672"/>
    </row>
    <row r="1719" ht="15.75">
      <c r="N1719" s="672"/>
    </row>
    <row r="1720" ht="15.75">
      <c r="N1720" s="672"/>
    </row>
    <row r="1721" ht="15.75">
      <c r="N1721" s="672"/>
    </row>
    <row r="1722" ht="15.75">
      <c r="N1722" s="672"/>
    </row>
    <row r="1723" ht="15.75">
      <c r="N1723" s="672"/>
    </row>
    <row r="1724" ht="15.75">
      <c r="N1724" s="672"/>
    </row>
    <row r="1725" ht="15.75">
      <c r="N1725" s="672"/>
    </row>
    <row r="1726" ht="15.75">
      <c r="N1726" s="672"/>
    </row>
    <row r="1727" ht="15.75">
      <c r="N1727" s="672"/>
    </row>
    <row r="1728" ht="15.75">
      <c r="N1728" s="672"/>
    </row>
    <row r="1729" ht="15.75">
      <c r="N1729" s="672"/>
    </row>
    <row r="1730" ht="15.75">
      <c r="N1730" s="672"/>
    </row>
    <row r="1731" ht="15.75">
      <c r="N1731" s="672"/>
    </row>
    <row r="1732" ht="15.75">
      <c r="N1732" s="672"/>
    </row>
    <row r="1733" ht="15.75">
      <c r="N1733" s="672"/>
    </row>
    <row r="1734" ht="15.75">
      <c r="N1734" s="672"/>
    </row>
    <row r="1735" ht="15.75">
      <c r="N1735" s="672"/>
    </row>
    <row r="1736" ht="15.75">
      <c r="N1736" s="672"/>
    </row>
    <row r="1737" ht="15.75">
      <c r="N1737" s="672"/>
    </row>
    <row r="1738" ht="15.75">
      <c r="N1738" s="672"/>
    </row>
    <row r="1739" ht="15.75">
      <c r="N1739" s="672"/>
    </row>
    <row r="1740" ht="15.75">
      <c r="N1740" s="672"/>
    </row>
    <row r="1741" ht="15.75">
      <c r="N1741" s="672"/>
    </row>
    <row r="1742" ht="15.75">
      <c r="N1742" s="672"/>
    </row>
    <row r="1743" ht="15.75">
      <c r="N1743" s="672"/>
    </row>
    <row r="1744" ht="15.75">
      <c r="N1744" s="672"/>
    </row>
    <row r="1745" ht="15.75">
      <c r="N1745" s="672"/>
    </row>
    <row r="1746" ht="15.75">
      <c r="N1746" s="672"/>
    </row>
    <row r="1747" ht="15.75">
      <c r="N1747" s="672"/>
    </row>
    <row r="1748" ht="15.75">
      <c r="N1748" s="672"/>
    </row>
    <row r="1749" ht="15.75">
      <c r="N1749" s="672"/>
    </row>
    <row r="1750" ht="15.75">
      <c r="N1750" s="672"/>
    </row>
    <row r="1751" ht="15.75">
      <c r="N1751" s="672"/>
    </row>
    <row r="1752" ht="15.75">
      <c r="N1752" s="672"/>
    </row>
    <row r="1753" ht="15.75">
      <c r="N1753" s="672"/>
    </row>
    <row r="1754" ht="15.75">
      <c r="N1754" s="672"/>
    </row>
    <row r="1755" ht="15.75">
      <c r="N1755" s="672"/>
    </row>
    <row r="1756" ht="15.75">
      <c r="N1756" s="672"/>
    </row>
    <row r="1757" ht="15.75">
      <c r="N1757" s="672"/>
    </row>
    <row r="1758" ht="15.75">
      <c r="N1758" s="672"/>
    </row>
    <row r="1759" ht="15.75">
      <c r="N1759" s="672"/>
    </row>
    <row r="1760" ht="15.75">
      <c r="N1760" s="672"/>
    </row>
    <row r="1761" ht="15.75">
      <c r="N1761" s="672"/>
    </row>
    <row r="1762" ht="15.75">
      <c r="N1762" s="672"/>
    </row>
    <row r="1763" ht="15.75">
      <c r="N1763" s="672"/>
    </row>
    <row r="1764" ht="15.75">
      <c r="N1764" s="672"/>
    </row>
    <row r="1765" ht="15.75">
      <c r="N1765" s="672"/>
    </row>
    <row r="1766" ht="15.75">
      <c r="N1766" s="672"/>
    </row>
    <row r="1767" ht="15.75">
      <c r="N1767" s="672"/>
    </row>
    <row r="1768" ht="15.75">
      <c r="N1768" s="672"/>
    </row>
    <row r="1769" ht="15.75">
      <c r="N1769" s="672"/>
    </row>
    <row r="1770" ht="15.75">
      <c r="N1770" s="672"/>
    </row>
    <row r="1771" ht="15.75">
      <c r="N1771" s="672"/>
    </row>
    <row r="1772" ht="15.75">
      <c r="N1772" s="672"/>
    </row>
    <row r="1773" ht="15.75">
      <c r="N1773" s="672"/>
    </row>
    <row r="1774" ht="15.75">
      <c r="N1774" s="672"/>
    </row>
    <row r="1775" ht="15.75">
      <c r="N1775" s="672"/>
    </row>
    <row r="1776" ht="15.75">
      <c r="N1776" s="672"/>
    </row>
    <row r="1777" ht="15.75">
      <c r="N1777" s="672"/>
    </row>
    <row r="1778" ht="15.75">
      <c r="N1778" s="672"/>
    </row>
    <row r="1779" ht="15.75">
      <c r="N1779" s="672"/>
    </row>
    <row r="1780" ht="15.75">
      <c r="N1780" s="672"/>
    </row>
    <row r="1781" ht="15.75">
      <c r="N1781" s="672"/>
    </row>
    <row r="1782" ht="15.75">
      <c r="N1782" s="672"/>
    </row>
    <row r="1783" ht="15.75">
      <c r="N1783" s="672"/>
    </row>
    <row r="1784" ht="15.75">
      <c r="N1784" s="672"/>
    </row>
    <row r="1785" ht="15.75">
      <c r="N1785" s="672"/>
    </row>
    <row r="1786" ht="15.75">
      <c r="N1786" s="672"/>
    </row>
    <row r="1787" ht="15.75">
      <c r="N1787" s="672"/>
    </row>
    <row r="1788" ht="15.75">
      <c r="N1788" s="672"/>
    </row>
    <row r="1789" ht="15.75">
      <c r="N1789" s="672"/>
    </row>
    <row r="1790" ht="15.75">
      <c r="N1790" s="672"/>
    </row>
    <row r="1791" ht="15.75">
      <c r="N1791" s="672"/>
    </row>
    <row r="1792" ht="15.75">
      <c r="N1792" s="672"/>
    </row>
    <row r="1793" ht="15.75">
      <c r="N1793" s="672"/>
    </row>
    <row r="1794" ht="15.75">
      <c r="N1794" s="672"/>
    </row>
    <row r="1795" ht="15.75">
      <c r="N1795" s="672"/>
    </row>
    <row r="1796" ht="15.75">
      <c r="N1796" s="672"/>
    </row>
    <row r="1797" ht="15.75">
      <c r="N1797" s="672"/>
    </row>
    <row r="1798" ht="15.75">
      <c r="N1798" s="672"/>
    </row>
    <row r="1799" ht="15.75">
      <c r="N1799" s="672"/>
    </row>
    <row r="1800" ht="15.75">
      <c r="N1800" s="672"/>
    </row>
    <row r="1801" ht="15.75">
      <c r="N1801" s="672"/>
    </row>
    <row r="1802" ht="15.75">
      <c r="N1802" s="672"/>
    </row>
    <row r="1803" ht="15.75">
      <c r="N1803" s="672"/>
    </row>
    <row r="1804" ht="15.75">
      <c r="N1804" s="672"/>
    </row>
    <row r="1805" ht="15.75">
      <c r="N1805" s="672"/>
    </row>
    <row r="1806" ht="15.75">
      <c r="N1806" s="672"/>
    </row>
    <row r="1807" ht="15.75">
      <c r="N1807" s="672"/>
    </row>
    <row r="1808" ht="15.75">
      <c r="N1808" s="672"/>
    </row>
    <row r="1809" ht="15.75">
      <c r="N1809" s="672"/>
    </row>
    <row r="1810" ht="15.75">
      <c r="N1810" s="672"/>
    </row>
    <row r="1811" ht="15.75">
      <c r="N1811" s="672"/>
    </row>
    <row r="1812" ht="15.75">
      <c r="N1812" s="672"/>
    </row>
    <row r="1813" ht="15.75">
      <c r="N1813" s="672"/>
    </row>
    <row r="1814" ht="15.75">
      <c r="N1814" s="672"/>
    </row>
    <row r="1815" ht="15.75">
      <c r="N1815" s="672"/>
    </row>
    <row r="1816" ht="15.75">
      <c r="N1816" s="672"/>
    </row>
    <row r="1817" ht="15.75">
      <c r="N1817" s="672"/>
    </row>
    <row r="1818" ht="15.75">
      <c r="N1818" s="672"/>
    </row>
    <row r="1819" ht="15.75">
      <c r="N1819" s="672"/>
    </row>
    <row r="1820" ht="15.75">
      <c r="N1820" s="672"/>
    </row>
    <row r="1821" ht="15.75">
      <c r="N1821" s="672"/>
    </row>
    <row r="1822" ht="15.75">
      <c r="N1822" s="672"/>
    </row>
    <row r="1823" ht="15.75">
      <c r="N1823" s="672"/>
    </row>
    <row r="1824" ht="15.75">
      <c r="N1824" s="672"/>
    </row>
    <row r="1825" ht="15.75">
      <c r="N1825" s="672"/>
    </row>
    <row r="1826" ht="15.75">
      <c r="N1826" s="672"/>
    </row>
    <row r="1827" ht="15.75">
      <c r="N1827" s="672"/>
    </row>
    <row r="1828" ht="15.75">
      <c r="N1828" s="672"/>
    </row>
    <row r="1829" ht="15.75">
      <c r="N1829" s="672"/>
    </row>
    <row r="1830" ht="15.75">
      <c r="N1830" s="672"/>
    </row>
    <row r="1831" ht="15.75">
      <c r="N1831" s="672"/>
    </row>
    <row r="1832" ht="15.75">
      <c r="N1832" s="672"/>
    </row>
    <row r="1833" ht="15.75">
      <c r="N1833" s="672"/>
    </row>
    <row r="1834" ht="15.75">
      <c r="N1834" s="672"/>
    </row>
    <row r="1835" ht="15.75">
      <c r="N1835" s="672"/>
    </row>
    <row r="1836" ht="15.75">
      <c r="N1836" s="672"/>
    </row>
    <row r="1837" ht="15.75">
      <c r="N1837" s="672"/>
    </row>
    <row r="1838" ht="15.75">
      <c r="N1838" s="672"/>
    </row>
    <row r="1839" ht="15.75">
      <c r="N1839" s="672"/>
    </row>
    <row r="1840" ht="15.75">
      <c r="N1840" s="672"/>
    </row>
    <row r="1841" ht="15.75">
      <c r="N1841" s="672"/>
    </row>
    <row r="1842" ht="15.75">
      <c r="N1842" s="672"/>
    </row>
    <row r="1843" ht="15.75">
      <c r="N1843" s="672"/>
    </row>
    <row r="1844" ht="15.75">
      <c r="N1844" s="672"/>
    </row>
    <row r="1845" ht="15.75">
      <c r="N1845" s="672"/>
    </row>
    <row r="1846" ht="15.75">
      <c r="N1846" s="672"/>
    </row>
    <row r="1847" ht="15.75">
      <c r="N1847" s="672"/>
    </row>
    <row r="1848" ht="15.75">
      <c r="N1848" s="672"/>
    </row>
    <row r="1849" ht="15.75">
      <c r="N1849" s="672"/>
    </row>
    <row r="1850" ht="15.75">
      <c r="N1850" s="672"/>
    </row>
    <row r="1851" ht="15.75">
      <c r="N1851" s="672"/>
    </row>
    <row r="1852" ht="15.75">
      <c r="N1852" s="672"/>
    </row>
    <row r="1853" ht="15.75">
      <c r="N1853" s="672"/>
    </row>
    <row r="1854" ht="15.75">
      <c r="N1854" s="672"/>
    </row>
    <row r="1855" ht="15.75">
      <c r="N1855" s="672"/>
    </row>
    <row r="1856" ht="15.75">
      <c r="N1856" s="672"/>
    </row>
    <row r="1857" ht="15.75">
      <c r="N1857" s="672"/>
    </row>
    <row r="1858" ht="15.75">
      <c r="N1858" s="672"/>
    </row>
    <row r="1859" ht="15.75">
      <c r="N1859" s="672"/>
    </row>
    <row r="1860" ht="15.75">
      <c r="N1860" s="672"/>
    </row>
    <row r="1861" ht="15.75">
      <c r="N1861" s="672"/>
    </row>
    <row r="1862" ht="15.75">
      <c r="N1862" s="672"/>
    </row>
    <row r="1863" ht="15.75">
      <c r="N1863" s="672"/>
    </row>
    <row r="1864" ht="15.75">
      <c r="N1864" s="672"/>
    </row>
    <row r="1865" ht="15.75">
      <c r="N1865" s="672"/>
    </row>
    <row r="1866" ht="15.75">
      <c r="N1866" s="672"/>
    </row>
    <row r="1867" ht="15.75">
      <c r="N1867" s="672"/>
    </row>
    <row r="1868" ht="15.75">
      <c r="N1868" s="672"/>
    </row>
    <row r="1869" ht="15.75">
      <c r="N1869" s="672"/>
    </row>
    <row r="1870" ht="15.75">
      <c r="N1870" s="672"/>
    </row>
    <row r="1871" ht="15.75">
      <c r="N1871" s="672"/>
    </row>
    <row r="1872" ht="15.75">
      <c r="N1872" s="672"/>
    </row>
    <row r="1873" ht="15.75">
      <c r="N1873" s="672"/>
    </row>
    <row r="1874" ht="15.75">
      <c r="N1874" s="672"/>
    </row>
    <row r="1875" ht="15.75">
      <c r="N1875" s="672"/>
    </row>
    <row r="1876" ht="15.75">
      <c r="N1876" s="672"/>
    </row>
    <row r="1877" ht="15.75">
      <c r="N1877" s="672"/>
    </row>
    <row r="1878" ht="15.75">
      <c r="N1878" s="672"/>
    </row>
    <row r="1879" ht="15.75">
      <c r="N1879" s="672"/>
    </row>
    <row r="1880" ht="15.75">
      <c r="N1880" s="672"/>
    </row>
    <row r="1881" ht="15.75">
      <c r="N1881" s="672"/>
    </row>
    <row r="1882" ht="15.75">
      <c r="N1882" s="672"/>
    </row>
    <row r="1883" ht="15.75">
      <c r="N1883" s="672"/>
    </row>
    <row r="1884" ht="15.75">
      <c r="N1884" s="672"/>
    </row>
    <row r="1885" ht="15.75">
      <c r="N1885" s="672"/>
    </row>
    <row r="1886" ht="15.75">
      <c r="N1886" s="672"/>
    </row>
    <row r="1887" ht="15.75">
      <c r="N1887" s="672"/>
    </row>
    <row r="1888" ht="15.75">
      <c r="N1888" s="672"/>
    </row>
    <row r="1889" ht="15.75">
      <c r="N1889" s="672"/>
    </row>
    <row r="1890" ht="15.75">
      <c r="N1890" s="672"/>
    </row>
    <row r="1891" ht="15.75">
      <c r="N1891" s="672"/>
    </row>
    <row r="1892" ht="15.75">
      <c r="N1892" s="672"/>
    </row>
    <row r="1893" ht="15.75">
      <c r="N1893" s="672"/>
    </row>
    <row r="1894" ht="15.75">
      <c r="N1894" s="672"/>
    </row>
    <row r="1895" ht="15.75">
      <c r="N1895" s="672"/>
    </row>
    <row r="1896" ht="15.75">
      <c r="N1896" s="672"/>
    </row>
    <row r="1897" ht="15.75">
      <c r="N1897" s="672"/>
    </row>
    <row r="1898" ht="15.75">
      <c r="N1898" s="672"/>
    </row>
    <row r="1899" ht="15.75">
      <c r="N1899" s="672"/>
    </row>
    <row r="1900" ht="15.75">
      <c r="N1900" s="672"/>
    </row>
    <row r="1901" ht="15.75">
      <c r="N1901" s="672"/>
    </row>
    <row r="1902" ht="15.75">
      <c r="N1902" s="672"/>
    </row>
    <row r="1903" ht="15.75">
      <c r="N1903" s="672"/>
    </row>
    <row r="1904" ht="15.75">
      <c r="N1904" s="672"/>
    </row>
    <row r="1905" ht="15.75">
      <c r="N1905" s="672"/>
    </row>
    <row r="1906" ht="15.75">
      <c r="N1906" s="672"/>
    </row>
    <row r="1907" ht="15.75">
      <c r="N1907" s="672"/>
    </row>
    <row r="1908" ht="15.75">
      <c r="N1908" s="672"/>
    </row>
    <row r="1909" ht="15.75">
      <c r="N1909" s="672"/>
    </row>
    <row r="1910" ht="15.75">
      <c r="N1910" s="672"/>
    </row>
    <row r="1911" ht="15.75">
      <c r="N1911" s="672"/>
    </row>
    <row r="1912" ht="15.75">
      <c r="N1912" s="672"/>
    </row>
    <row r="1913" ht="15.75">
      <c r="N1913" s="672"/>
    </row>
    <row r="1914" ht="15.75">
      <c r="N1914" s="672"/>
    </row>
    <row r="1915" ht="15.75">
      <c r="N1915" s="672"/>
    </row>
    <row r="1916" ht="15.75">
      <c r="N1916" s="672"/>
    </row>
    <row r="1917" ht="15.75">
      <c r="N1917" s="672"/>
    </row>
    <row r="1918" ht="15.75">
      <c r="N1918" s="672"/>
    </row>
    <row r="1919" ht="15.75">
      <c r="N1919" s="672"/>
    </row>
    <row r="1920" ht="15.75">
      <c r="N1920" s="672"/>
    </row>
    <row r="1921" ht="15.75">
      <c r="N1921" s="672"/>
    </row>
    <row r="1922" ht="15.75">
      <c r="N1922" s="672"/>
    </row>
    <row r="1923" ht="15.75">
      <c r="N1923" s="672"/>
    </row>
    <row r="1924" ht="15.75">
      <c r="N1924" s="672"/>
    </row>
    <row r="1925" ht="15.75">
      <c r="N1925" s="672"/>
    </row>
    <row r="1926" ht="15.75">
      <c r="N1926" s="672"/>
    </row>
    <row r="1927" ht="15.75">
      <c r="N1927" s="672"/>
    </row>
    <row r="1928" ht="15.75">
      <c r="N1928" s="672"/>
    </row>
    <row r="1929" ht="15.75">
      <c r="N1929" s="672"/>
    </row>
    <row r="1930" ht="15.75">
      <c r="N1930" s="672"/>
    </row>
    <row r="1931" ht="15.75">
      <c r="N1931" s="672"/>
    </row>
    <row r="1932" ht="15.75">
      <c r="N1932" s="672"/>
    </row>
    <row r="1933" ht="15.75">
      <c r="N1933" s="672"/>
    </row>
    <row r="1934" ht="15.75">
      <c r="N1934" s="672"/>
    </row>
    <row r="1935" ht="15.75">
      <c r="N1935" s="672"/>
    </row>
    <row r="1936" ht="15.75">
      <c r="N1936" s="672"/>
    </row>
    <row r="1937" ht="15.75">
      <c r="N1937" s="672"/>
    </row>
    <row r="1938" ht="15.75">
      <c r="N1938" s="672"/>
    </row>
    <row r="1939" ht="15.75">
      <c r="N1939" s="672"/>
    </row>
    <row r="1940" ht="15.75">
      <c r="N1940" s="672"/>
    </row>
    <row r="1941" ht="15.75">
      <c r="N1941" s="672"/>
    </row>
    <row r="1942" ht="15.75">
      <c r="N1942" s="672"/>
    </row>
    <row r="1943" ht="15.75">
      <c r="N1943" s="672"/>
    </row>
    <row r="1944" ht="15.75">
      <c r="N1944" s="672"/>
    </row>
    <row r="1945" ht="15.75">
      <c r="N1945" s="672"/>
    </row>
    <row r="1946" ht="15.75">
      <c r="N1946" s="672"/>
    </row>
    <row r="1947" ht="15.75">
      <c r="N1947" s="672"/>
    </row>
    <row r="1948" ht="15.75">
      <c r="N1948" s="672"/>
    </row>
    <row r="1949" ht="15.75">
      <c r="N1949" s="672"/>
    </row>
    <row r="1950" ht="15.75">
      <c r="N1950" s="672"/>
    </row>
    <row r="1951" ht="15.75">
      <c r="N1951" s="672"/>
    </row>
    <row r="1952" ht="15.75">
      <c r="N1952" s="672"/>
    </row>
    <row r="1953" ht="15.75">
      <c r="N1953" s="672"/>
    </row>
    <row r="1954" ht="15.75">
      <c r="N1954" s="672"/>
    </row>
    <row r="1955" ht="15.75">
      <c r="N1955" s="672"/>
    </row>
    <row r="1956" ht="15.75">
      <c r="N1956" s="672"/>
    </row>
    <row r="1957" ht="15.75">
      <c r="N1957" s="672"/>
    </row>
    <row r="1958" ht="15.75">
      <c r="N1958" s="672"/>
    </row>
    <row r="1959" ht="15.75">
      <c r="N1959" s="672"/>
    </row>
    <row r="1960" ht="15.75">
      <c r="N1960" s="672"/>
    </row>
    <row r="1961" ht="15.75">
      <c r="N1961" s="672"/>
    </row>
    <row r="1962" ht="15.75">
      <c r="N1962" s="672"/>
    </row>
    <row r="1963" ht="15.75">
      <c r="N1963" s="672"/>
    </row>
    <row r="1964" ht="15.75">
      <c r="N1964" s="672"/>
    </row>
    <row r="1965" ht="15.75">
      <c r="N1965" s="672"/>
    </row>
    <row r="1966" ht="15.75">
      <c r="N1966" s="672"/>
    </row>
    <row r="1967" ht="15.75">
      <c r="N1967" s="672"/>
    </row>
    <row r="1968" ht="15.75">
      <c r="N1968" s="672"/>
    </row>
    <row r="1969" ht="15.75">
      <c r="N1969" s="672"/>
    </row>
    <row r="1970" ht="15.75">
      <c r="N1970" s="672"/>
    </row>
    <row r="1971" ht="15.75">
      <c r="N1971" s="672"/>
    </row>
    <row r="1972" ht="15.75">
      <c r="N1972" s="672"/>
    </row>
    <row r="1973" ht="15.75">
      <c r="N1973" s="672"/>
    </row>
    <row r="1974" ht="15.75">
      <c r="N1974" s="672"/>
    </row>
    <row r="1975" ht="15.75">
      <c r="N1975" s="672"/>
    </row>
    <row r="1976" ht="15.75">
      <c r="N1976" s="672"/>
    </row>
    <row r="1977" ht="15.75">
      <c r="N1977" s="672"/>
    </row>
    <row r="1978" ht="15.75">
      <c r="N1978" s="672"/>
    </row>
    <row r="1979" ht="15.75">
      <c r="N1979" s="672"/>
    </row>
    <row r="1980" ht="15.75">
      <c r="N1980" s="672"/>
    </row>
    <row r="1981" ht="15.75">
      <c r="N1981" s="672"/>
    </row>
    <row r="1982" ht="15.75">
      <c r="N1982" s="672"/>
    </row>
    <row r="1983" ht="15.75">
      <c r="N1983" s="672"/>
    </row>
    <row r="1984" ht="15.75">
      <c r="N1984" s="672"/>
    </row>
    <row r="1985" ht="15.75">
      <c r="N1985" s="672"/>
    </row>
    <row r="1986" ht="15.75">
      <c r="N1986" s="672"/>
    </row>
    <row r="1987" ht="15.75">
      <c r="N1987" s="672"/>
    </row>
    <row r="1988" ht="15.75">
      <c r="N1988" s="672"/>
    </row>
    <row r="1989" ht="15.75">
      <c r="N1989" s="672"/>
    </row>
    <row r="1990" ht="15.75">
      <c r="N1990" s="672"/>
    </row>
    <row r="1991" ht="15.75">
      <c r="N1991" s="672"/>
    </row>
    <row r="1992" ht="15.75">
      <c r="N1992" s="672"/>
    </row>
    <row r="1993" ht="15.75">
      <c r="N1993" s="672"/>
    </row>
    <row r="1994" ht="15.75">
      <c r="N1994" s="672"/>
    </row>
    <row r="1995" ht="15.75">
      <c r="N1995" s="672"/>
    </row>
    <row r="1996" ht="15.75">
      <c r="N1996" s="672"/>
    </row>
    <row r="1997" ht="15.75">
      <c r="N1997" s="672"/>
    </row>
    <row r="1998" ht="15.75">
      <c r="N1998" s="672"/>
    </row>
    <row r="1999" ht="15.75">
      <c r="N1999" s="672"/>
    </row>
    <row r="2000" ht="15.75">
      <c r="N2000" s="672"/>
    </row>
    <row r="2001" ht="15.75">
      <c r="N2001" s="672"/>
    </row>
    <row r="2002" ht="15.75">
      <c r="N2002" s="672"/>
    </row>
    <row r="2003" ht="15.75">
      <c r="N2003" s="672"/>
    </row>
    <row r="2004" ht="15.75">
      <c r="N2004" s="672"/>
    </row>
    <row r="2005" ht="15.75">
      <c r="N2005" s="672"/>
    </row>
    <row r="2006" ht="15.75">
      <c r="N2006" s="672"/>
    </row>
    <row r="2007" ht="15.75">
      <c r="N2007" s="672"/>
    </row>
    <row r="2008" ht="15.75">
      <c r="N2008" s="672"/>
    </row>
    <row r="2009" ht="15.75">
      <c r="N2009" s="672"/>
    </row>
    <row r="2010" ht="15.75">
      <c r="N2010" s="672"/>
    </row>
    <row r="2011" ht="15.75">
      <c r="N2011" s="672"/>
    </row>
    <row r="2012" ht="15.75">
      <c r="N2012" s="672"/>
    </row>
    <row r="2013" ht="15.75">
      <c r="N2013" s="672"/>
    </row>
    <row r="2014" ht="15.75">
      <c r="N2014" s="672"/>
    </row>
    <row r="2015" ht="15.75">
      <c r="N2015" s="672"/>
    </row>
    <row r="2016" ht="15.75">
      <c r="N2016" s="672"/>
    </row>
    <row r="2017" ht="15.75">
      <c r="N2017" s="672"/>
    </row>
    <row r="2018" ht="15.75">
      <c r="N2018" s="672"/>
    </row>
    <row r="2019" ht="15.75">
      <c r="N2019" s="672"/>
    </row>
    <row r="2020" ht="15.75">
      <c r="N2020" s="672"/>
    </row>
    <row r="2021" ht="15.75">
      <c r="N2021" s="672"/>
    </row>
    <row r="2022" ht="15.75">
      <c r="N2022" s="672"/>
    </row>
    <row r="2023" ht="15.75">
      <c r="N2023" s="672"/>
    </row>
    <row r="2024" ht="15.75">
      <c r="N2024" s="672"/>
    </row>
    <row r="2025" ht="15.75">
      <c r="N2025" s="672"/>
    </row>
    <row r="2026" ht="15.75">
      <c r="N2026" s="672"/>
    </row>
    <row r="2027" ht="15.75">
      <c r="N2027" s="672"/>
    </row>
    <row r="2028" ht="15.75">
      <c r="N2028" s="672"/>
    </row>
    <row r="2029" ht="15.75">
      <c r="N2029" s="672"/>
    </row>
    <row r="2030" ht="15.75">
      <c r="N2030" s="672"/>
    </row>
    <row r="2031" ht="15.75">
      <c r="N2031" s="672"/>
    </row>
    <row r="2032" ht="15.75">
      <c r="N2032" s="672"/>
    </row>
    <row r="2033" ht="15.75">
      <c r="N2033" s="672"/>
    </row>
    <row r="2034" ht="15.75">
      <c r="N2034" s="672"/>
    </row>
    <row r="2035" ht="15.75">
      <c r="N2035" s="672"/>
    </row>
    <row r="2036" ht="15.75">
      <c r="N2036" s="672"/>
    </row>
    <row r="2037" ht="15.75">
      <c r="N2037" s="672"/>
    </row>
    <row r="2038" ht="15.75">
      <c r="N2038" s="672"/>
    </row>
    <row r="2039" ht="15.75">
      <c r="N2039" s="672"/>
    </row>
    <row r="2040" ht="15.75">
      <c r="N2040" s="672"/>
    </row>
    <row r="2041" ht="15.75">
      <c r="N2041" s="672"/>
    </row>
    <row r="2042" ht="15.75">
      <c r="N2042" s="672"/>
    </row>
    <row r="2043" ht="15.75">
      <c r="N2043" s="672"/>
    </row>
    <row r="2044" ht="15.75">
      <c r="N2044" s="672"/>
    </row>
    <row r="2045" ht="15.75">
      <c r="N2045" s="672"/>
    </row>
    <row r="2046" ht="15.75">
      <c r="N2046" s="672"/>
    </row>
    <row r="2047" ht="15.75">
      <c r="N2047" s="672"/>
    </row>
    <row r="2048" ht="15.75">
      <c r="N2048" s="672"/>
    </row>
    <row r="2049" ht="15.75">
      <c r="N2049" s="672"/>
    </row>
    <row r="2050" ht="15.75">
      <c r="N2050" s="672"/>
    </row>
    <row r="2051" ht="15.75">
      <c r="N2051" s="672"/>
    </row>
    <row r="2052" ht="15.75">
      <c r="N2052" s="672"/>
    </row>
    <row r="2053" ht="15.75">
      <c r="N2053" s="672"/>
    </row>
    <row r="2054" ht="15.75">
      <c r="N2054" s="672"/>
    </row>
    <row r="2055" ht="15.75">
      <c r="N2055" s="672"/>
    </row>
    <row r="2056" ht="15.75">
      <c r="N2056" s="672"/>
    </row>
    <row r="2057" ht="15.75">
      <c r="N2057" s="672"/>
    </row>
    <row r="2058" ht="15.75">
      <c r="N2058" s="672"/>
    </row>
    <row r="2059" ht="15.75">
      <c r="N2059" s="672"/>
    </row>
    <row r="2060" ht="15.75">
      <c r="N2060" s="672"/>
    </row>
    <row r="2061" ht="15.75">
      <c r="N2061" s="672"/>
    </row>
    <row r="2062" ht="15.75">
      <c r="N2062" s="672"/>
    </row>
    <row r="2063" ht="15.75">
      <c r="N2063" s="672"/>
    </row>
    <row r="2064" ht="15.75">
      <c r="N2064" s="672"/>
    </row>
    <row r="2065" ht="15.75">
      <c r="N2065" s="672"/>
    </row>
    <row r="2066" ht="15.75">
      <c r="N2066" s="672"/>
    </row>
    <row r="2067" ht="15.75">
      <c r="N2067" s="672"/>
    </row>
    <row r="2068" ht="15.75">
      <c r="N2068" s="672"/>
    </row>
    <row r="2069" ht="15.75">
      <c r="N2069" s="672"/>
    </row>
    <row r="2070" ht="15.75">
      <c r="N2070" s="672"/>
    </row>
    <row r="2071" ht="15.75">
      <c r="N2071" s="672"/>
    </row>
    <row r="2072" ht="15.75">
      <c r="N2072" s="672"/>
    </row>
    <row r="2073" ht="15.75">
      <c r="N2073" s="672"/>
    </row>
    <row r="2074" ht="15.75">
      <c r="N2074" s="672"/>
    </row>
    <row r="2075" ht="15.75">
      <c r="N2075" s="672"/>
    </row>
    <row r="2076" ht="15.75">
      <c r="N2076" s="672"/>
    </row>
    <row r="2077" ht="15.75">
      <c r="N2077" s="672"/>
    </row>
    <row r="2078" ht="15.75">
      <c r="N2078" s="672"/>
    </row>
    <row r="2079" ht="15.75">
      <c r="N2079" s="672"/>
    </row>
    <row r="2080" ht="15.75">
      <c r="N2080" s="672"/>
    </row>
    <row r="2081" ht="15.75">
      <c r="N2081" s="672"/>
    </row>
    <row r="2082" ht="15.75">
      <c r="N2082" s="672"/>
    </row>
    <row r="2083" ht="15.75">
      <c r="N2083" s="672"/>
    </row>
    <row r="2084" ht="15.75">
      <c r="N2084" s="672"/>
    </row>
    <row r="2085" ht="15.75">
      <c r="N2085" s="672"/>
    </row>
    <row r="2086" ht="15.75">
      <c r="N2086" s="672"/>
    </row>
    <row r="2087" ht="15.75">
      <c r="N2087" s="672"/>
    </row>
    <row r="2088" ht="15.75">
      <c r="N2088" s="672"/>
    </row>
    <row r="2089" ht="15.75">
      <c r="N2089" s="672"/>
    </row>
    <row r="2090" ht="15.75">
      <c r="N2090" s="672"/>
    </row>
    <row r="2091" ht="15.75">
      <c r="N2091" s="672"/>
    </row>
    <row r="2092" ht="15.75">
      <c r="N2092" s="672"/>
    </row>
    <row r="2093" ht="15.75">
      <c r="N2093" s="672"/>
    </row>
    <row r="2094" ht="15.75">
      <c r="N2094" s="672"/>
    </row>
    <row r="2095" ht="15.75">
      <c r="N2095" s="672"/>
    </row>
    <row r="2096" ht="15.75">
      <c r="N2096" s="672"/>
    </row>
    <row r="2097" ht="15.75">
      <c r="N2097" s="672"/>
    </row>
    <row r="2098" ht="15.75">
      <c r="N2098" s="672"/>
    </row>
    <row r="2099" ht="15.75">
      <c r="N2099" s="672"/>
    </row>
    <row r="2100" ht="15.75">
      <c r="N2100" s="672"/>
    </row>
    <row r="2101" ht="15.75">
      <c r="N2101" s="672"/>
    </row>
    <row r="2102" ht="15.75">
      <c r="N2102" s="672"/>
    </row>
    <row r="2103" ht="15.75">
      <c r="N2103" s="672"/>
    </row>
    <row r="2104" ht="15.75">
      <c r="N2104" s="672"/>
    </row>
    <row r="2105" ht="15.75">
      <c r="N2105" s="672"/>
    </row>
    <row r="2106" ht="15.75">
      <c r="N2106" s="672"/>
    </row>
    <row r="2107" ht="15.75">
      <c r="N2107" s="672"/>
    </row>
    <row r="2108" ht="15.75">
      <c r="N2108" s="672"/>
    </row>
    <row r="2109" ht="15.75">
      <c r="N2109" s="672"/>
    </row>
    <row r="2110" ht="15.75">
      <c r="N2110" s="672"/>
    </row>
    <row r="2111" ht="15.75">
      <c r="N2111" s="672"/>
    </row>
    <row r="2112" ht="15.75">
      <c r="N2112" s="672"/>
    </row>
    <row r="2113" ht="15.75">
      <c r="N2113" s="672"/>
    </row>
    <row r="2114" ht="15.75">
      <c r="N2114" s="672"/>
    </row>
    <row r="2115" ht="15.75">
      <c r="N2115" s="672"/>
    </row>
    <row r="2116" ht="15.75">
      <c r="N2116" s="672"/>
    </row>
    <row r="2117" ht="15.75">
      <c r="N2117" s="672"/>
    </row>
    <row r="2118" ht="15.75">
      <c r="N2118" s="672"/>
    </row>
    <row r="2119" ht="15.75">
      <c r="N2119" s="672"/>
    </row>
    <row r="2120" ht="15.75">
      <c r="N2120" s="672"/>
    </row>
    <row r="2121" ht="15.75">
      <c r="N2121" s="672"/>
    </row>
    <row r="2122" ht="15.75">
      <c r="N2122" s="672"/>
    </row>
    <row r="2123" ht="15.75">
      <c r="N2123" s="672"/>
    </row>
    <row r="2124" ht="15.75">
      <c r="N2124" s="672"/>
    </row>
    <row r="2125" ht="15.75">
      <c r="N2125" s="672"/>
    </row>
    <row r="2126" ht="15.75">
      <c r="N2126" s="672"/>
    </row>
    <row r="2127" ht="15.75">
      <c r="N2127" s="672"/>
    </row>
    <row r="2128" ht="15.75">
      <c r="N2128" s="672"/>
    </row>
    <row r="2129" ht="15.75">
      <c r="N2129" s="672"/>
    </row>
    <row r="2130" ht="15.75">
      <c r="N2130" s="672"/>
    </row>
    <row r="2131" ht="15.75">
      <c r="N2131" s="672"/>
    </row>
    <row r="2132" ht="15.75">
      <c r="N2132" s="672"/>
    </row>
    <row r="2133" ht="15.75">
      <c r="N2133" s="672"/>
    </row>
    <row r="2134" ht="15.75">
      <c r="N2134" s="672"/>
    </row>
    <row r="2135" ht="15.75">
      <c r="N2135" s="672"/>
    </row>
    <row r="2136" ht="15.75">
      <c r="N2136" s="672"/>
    </row>
    <row r="2137" ht="15.75">
      <c r="N2137" s="672"/>
    </row>
    <row r="2138" ht="15.75">
      <c r="N2138" s="672"/>
    </row>
    <row r="2139" ht="15.75">
      <c r="N2139" s="672"/>
    </row>
    <row r="2140" ht="15.75">
      <c r="N2140" s="672"/>
    </row>
    <row r="2141" ht="15.75">
      <c r="N2141" s="672"/>
    </row>
    <row r="2142" ht="15.75">
      <c r="N2142" s="672"/>
    </row>
    <row r="2143" ht="15.75">
      <c r="N2143" s="672"/>
    </row>
    <row r="2144" ht="15.75">
      <c r="N2144" s="672"/>
    </row>
    <row r="2145" ht="15.75">
      <c r="N2145" s="672"/>
    </row>
    <row r="2146" ht="15.75">
      <c r="N2146" s="672"/>
    </row>
    <row r="2147" ht="15.75">
      <c r="N2147" s="672"/>
    </row>
    <row r="2148" ht="15.75">
      <c r="N2148" s="672"/>
    </row>
    <row r="2149" ht="15.75">
      <c r="N2149" s="672"/>
    </row>
    <row r="2150" ht="15.75">
      <c r="N2150" s="672"/>
    </row>
    <row r="2151" ht="15.75">
      <c r="N2151" s="672"/>
    </row>
    <row r="2152" ht="15.75">
      <c r="N2152" s="672"/>
    </row>
    <row r="2153" ht="15.75">
      <c r="N2153" s="672"/>
    </row>
    <row r="2154" ht="15.75">
      <c r="N2154" s="672"/>
    </row>
    <row r="2155" ht="15.75">
      <c r="N2155" s="672"/>
    </row>
    <row r="2156" ht="15.75">
      <c r="N2156" s="672"/>
    </row>
    <row r="2157" ht="15.75">
      <c r="N2157" s="672"/>
    </row>
    <row r="2158" ht="15.75">
      <c r="N2158" s="672"/>
    </row>
    <row r="2159" ht="15.75">
      <c r="N2159" s="672"/>
    </row>
    <row r="2160" ht="15.75">
      <c r="N2160" s="672"/>
    </row>
    <row r="2161" ht="15.75">
      <c r="N2161" s="672"/>
    </row>
    <row r="2162" ht="15.75">
      <c r="N2162" s="672"/>
    </row>
    <row r="2163" ht="15.75">
      <c r="N2163" s="672"/>
    </row>
    <row r="2164" ht="15.75">
      <c r="N2164" s="672"/>
    </row>
    <row r="2165" ht="15.75">
      <c r="N2165" s="672"/>
    </row>
    <row r="2166" ht="15.75">
      <c r="N2166" s="672"/>
    </row>
    <row r="2167" ht="15.75">
      <c r="N2167" s="672"/>
    </row>
    <row r="2168" ht="15.75">
      <c r="N2168" s="672"/>
    </row>
    <row r="2169" ht="15.75">
      <c r="N2169" s="672"/>
    </row>
    <row r="2170" ht="15.75">
      <c r="N2170" s="672"/>
    </row>
    <row r="2171" ht="15.75">
      <c r="N2171" s="672"/>
    </row>
    <row r="2172" ht="15.75">
      <c r="N2172" s="672"/>
    </row>
    <row r="2173" ht="15.75">
      <c r="N2173" s="672"/>
    </row>
    <row r="2174" ht="15.75">
      <c r="N2174" s="672"/>
    </row>
    <row r="2175" ht="15.75">
      <c r="N2175" s="672"/>
    </row>
    <row r="2176" ht="15.75">
      <c r="N2176" s="672"/>
    </row>
    <row r="2177" ht="15.75">
      <c r="N2177" s="672"/>
    </row>
    <row r="2178" ht="15.75">
      <c r="N2178" s="672"/>
    </row>
    <row r="2179" ht="15.75">
      <c r="N2179" s="672"/>
    </row>
    <row r="2180" ht="15.75">
      <c r="N2180" s="672"/>
    </row>
    <row r="2181" ht="15.75">
      <c r="N2181" s="672"/>
    </row>
    <row r="2182" ht="15.75">
      <c r="N2182" s="672"/>
    </row>
    <row r="2183" ht="15.75">
      <c r="N2183" s="672"/>
    </row>
    <row r="2184" ht="15.75">
      <c r="N2184" s="672"/>
    </row>
    <row r="2185" ht="15.75">
      <c r="N2185" s="672"/>
    </row>
    <row r="2186" ht="15.75">
      <c r="N2186" s="672"/>
    </row>
    <row r="2187" ht="15.75">
      <c r="N2187" s="672"/>
    </row>
    <row r="2188" ht="15.75">
      <c r="N2188" s="672"/>
    </row>
    <row r="2189" ht="15.75">
      <c r="N2189" s="672"/>
    </row>
    <row r="2190" ht="15.75">
      <c r="N2190" s="672"/>
    </row>
    <row r="2191" ht="15.75">
      <c r="N2191" s="672"/>
    </row>
    <row r="2192" ht="15.75">
      <c r="N2192" s="672"/>
    </row>
    <row r="2193" ht="15.75">
      <c r="N2193" s="672"/>
    </row>
    <row r="2194" ht="15.75">
      <c r="N2194" s="672"/>
    </row>
    <row r="2195" ht="15.75">
      <c r="N2195" s="672"/>
    </row>
    <row r="2196" ht="15.75">
      <c r="N2196" s="672"/>
    </row>
    <row r="2197" ht="15.75">
      <c r="N2197" s="672"/>
    </row>
    <row r="2198" ht="15.75">
      <c r="N2198" s="672"/>
    </row>
    <row r="2199" ht="15.75">
      <c r="N2199" s="672"/>
    </row>
    <row r="2200" ht="15.75">
      <c r="N2200" s="672"/>
    </row>
    <row r="2201" ht="15.75">
      <c r="N2201" s="672"/>
    </row>
    <row r="2202" ht="15.75">
      <c r="N2202" s="672"/>
    </row>
    <row r="2203" ht="15.75">
      <c r="N2203" s="672"/>
    </row>
    <row r="2204" ht="15.75">
      <c r="N2204" s="672"/>
    </row>
    <row r="2205" ht="15.75">
      <c r="N2205" s="672"/>
    </row>
    <row r="2206" ht="15.75">
      <c r="N2206" s="672"/>
    </row>
    <row r="2207" ht="15.75">
      <c r="N2207" s="672"/>
    </row>
    <row r="2208" ht="15.75">
      <c r="N2208" s="672"/>
    </row>
    <row r="2209" ht="15.75">
      <c r="N2209" s="672"/>
    </row>
    <row r="2210" ht="15.75">
      <c r="N2210" s="672"/>
    </row>
    <row r="2211" ht="15.75">
      <c r="N2211" s="672"/>
    </row>
    <row r="2212" ht="15.75">
      <c r="N2212" s="672"/>
    </row>
    <row r="2213" ht="15.75">
      <c r="N2213" s="672"/>
    </row>
    <row r="2214" ht="15.75">
      <c r="N2214" s="672"/>
    </row>
    <row r="2215" ht="15.75">
      <c r="N2215" s="672"/>
    </row>
    <row r="2216" ht="15.75">
      <c r="N2216" s="672"/>
    </row>
    <row r="2217" ht="15.75">
      <c r="N2217" s="672"/>
    </row>
    <row r="2218" ht="15.75">
      <c r="N2218" s="672"/>
    </row>
    <row r="2219" ht="15.75">
      <c r="N2219" s="672"/>
    </row>
    <row r="2220" ht="15.75">
      <c r="N2220" s="672"/>
    </row>
    <row r="2221" ht="15.75">
      <c r="N2221" s="672"/>
    </row>
    <row r="2222" ht="15.75">
      <c r="N2222" s="672"/>
    </row>
    <row r="2223" ht="15.75">
      <c r="N2223" s="672"/>
    </row>
    <row r="2224" ht="15.75">
      <c r="N2224" s="672"/>
    </row>
    <row r="2225" ht="15.75">
      <c r="N2225" s="672"/>
    </row>
    <row r="2226" ht="15.75">
      <c r="N2226" s="672"/>
    </row>
    <row r="2227" ht="15.75">
      <c r="N2227" s="672"/>
    </row>
    <row r="2228" ht="15.75">
      <c r="N2228" s="672"/>
    </row>
    <row r="2229" ht="15.75">
      <c r="N2229" s="672"/>
    </row>
    <row r="2230" ht="15.75">
      <c r="N2230" s="672"/>
    </row>
    <row r="2231" ht="15.75">
      <c r="N2231" s="672"/>
    </row>
    <row r="2232" ht="15.75">
      <c r="N2232" s="672"/>
    </row>
    <row r="2233" ht="15.75">
      <c r="N2233" s="672"/>
    </row>
    <row r="2234" ht="15.75">
      <c r="N2234" s="672"/>
    </row>
    <row r="2235" ht="15.75">
      <c r="N2235" s="672"/>
    </row>
    <row r="2236" ht="15.75">
      <c r="N2236" s="672"/>
    </row>
    <row r="2237" ht="15.75">
      <c r="N2237" s="672"/>
    </row>
    <row r="2238" ht="15.75">
      <c r="N2238" s="672"/>
    </row>
    <row r="2239" ht="15.75">
      <c r="N2239" s="672"/>
    </row>
    <row r="2240" ht="15.75">
      <c r="N2240" s="672"/>
    </row>
    <row r="2241" ht="15.75">
      <c r="N2241" s="672"/>
    </row>
    <row r="2242" ht="15.75">
      <c r="N2242" s="672"/>
    </row>
    <row r="2243" ht="15.75">
      <c r="N2243" s="672"/>
    </row>
    <row r="2244" ht="15.75">
      <c r="N2244" s="672"/>
    </row>
    <row r="2245" ht="15.75">
      <c r="N2245" s="672"/>
    </row>
    <row r="2246" ht="15.75">
      <c r="N2246" s="672"/>
    </row>
    <row r="2247" ht="15.75">
      <c r="N2247" s="672"/>
    </row>
    <row r="2248" ht="15.75">
      <c r="N2248" s="672"/>
    </row>
    <row r="2249" ht="15.75">
      <c r="N2249" s="672"/>
    </row>
    <row r="2250" ht="15.75">
      <c r="N2250" s="672"/>
    </row>
    <row r="2251" ht="15.75">
      <c r="N2251" s="672"/>
    </row>
    <row r="2252" ht="15.75">
      <c r="N2252" s="672"/>
    </row>
    <row r="2253" ht="15.75">
      <c r="N2253" s="672"/>
    </row>
    <row r="2254" ht="15.75">
      <c r="N2254" s="672"/>
    </row>
    <row r="2255" ht="15.75">
      <c r="N2255" s="672"/>
    </row>
    <row r="2256" ht="15.75">
      <c r="N2256" s="672"/>
    </row>
    <row r="2257" ht="15.75">
      <c r="N2257" s="672"/>
    </row>
    <row r="2258" ht="15.75">
      <c r="N2258" s="672"/>
    </row>
    <row r="2259" ht="15.75">
      <c r="N2259" s="672"/>
    </row>
    <row r="2260" ht="15.75">
      <c r="N2260" s="672"/>
    </row>
    <row r="2261" ht="15.75">
      <c r="N2261" s="672"/>
    </row>
    <row r="2262" ht="15.75">
      <c r="N2262" s="672"/>
    </row>
    <row r="2263" ht="15.75">
      <c r="N2263" s="672"/>
    </row>
    <row r="2264" ht="15.75">
      <c r="N2264" s="672"/>
    </row>
    <row r="2265" ht="15.75">
      <c r="N2265" s="672"/>
    </row>
    <row r="2266" ht="15.75">
      <c r="N2266" s="672"/>
    </row>
    <row r="2267" ht="15.75">
      <c r="N2267" s="672"/>
    </row>
    <row r="2268" ht="15.75">
      <c r="N2268" s="672"/>
    </row>
    <row r="2269" ht="15.75">
      <c r="N2269" s="672"/>
    </row>
    <row r="2270" ht="15.75">
      <c r="N2270" s="672"/>
    </row>
    <row r="2271" ht="15.75">
      <c r="N2271" s="672"/>
    </row>
    <row r="2272" ht="15.75">
      <c r="N2272" s="672"/>
    </row>
    <row r="2273" ht="15.75">
      <c r="N2273" s="672"/>
    </row>
    <row r="2274" ht="15.75">
      <c r="N2274" s="672"/>
    </row>
    <row r="2275" ht="15.75">
      <c r="N2275" s="672"/>
    </row>
    <row r="2276" ht="15.75">
      <c r="N2276" s="672"/>
    </row>
    <row r="2277" ht="15.75">
      <c r="N2277" s="672"/>
    </row>
    <row r="2278" ht="15.75">
      <c r="N2278" s="672"/>
    </row>
    <row r="2279" ht="15.75">
      <c r="N2279" s="672"/>
    </row>
    <row r="2280" ht="15.75">
      <c r="N2280" s="672"/>
    </row>
    <row r="2281" ht="15.75">
      <c r="N2281" s="672"/>
    </row>
    <row r="2282" ht="15.75">
      <c r="N2282" s="672"/>
    </row>
    <row r="2283" ht="15.75">
      <c r="N2283" s="672"/>
    </row>
    <row r="2284" ht="15.75">
      <c r="N2284" s="672"/>
    </row>
    <row r="2285" ht="15.75">
      <c r="N2285" s="672"/>
    </row>
    <row r="2286" ht="15.75">
      <c r="N2286" s="672"/>
    </row>
    <row r="2287" ht="15.75">
      <c r="N2287" s="672"/>
    </row>
    <row r="2288" ht="15.75">
      <c r="N2288" s="672"/>
    </row>
    <row r="2289" ht="15.75">
      <c r="N2289" s="672"/>
    </row>
    <row r="2290" ht="15.75">
      <c r="N2290" s="672"/>
    </row>
    <row r="2291" ht="15.75">
      <c r="N2291" s="672"/>
    </row>
    <row r="2292" ht="15.75">
      <c r="N2292" s="672"/>
    </row>
    <row r="2293" ht="15.75">
      <c r="N2293" s="672"/>
    </row>
    <row r="2294" ht="15.75">
      <c r="N2294" s="672"/>
    </row>
    <row r="2295" ht="15.75">
      <c r="N2295" s="672"/>
    </row>
    <row r="2296" ht="15.75">
      <c r="N2296" s="672"/>
    </row>
    <row r="2297" ht="15.75">
      <c r="N2297" s="672"/>
    </row>
    <row r="2298" ht="15.75">
      <c r="N2298" s="672"/>
    </row>
    <row r="2299" ht="15.75">
      <c r="N2299" s="672"/>
    </row>
    <row r="2300" ht="15.75">
      <c r="N2300" s="672"/>
    </row>
    <row r="2301" ht="15.75">
      <c r="N2301" s="672"/>
    </row>
    <row r="2302" ht="15.75">
      <c r="N2302" s="672"/>
    </row>
    <row r="2303" ht="15.75">
      <c r="N2303" s="672"/>
    </row>
    <row r="2304" ht="15.75">
      <c r="N2304" s="672"/>
    </row>
    <row r="2305" ht="15.75">
      <c r="N2305" s="672"/>
    </row>
    <row r="2306" ht="15.75">
      <c r="N2306" s="672"/>
    </row>
    <row r="2307" ht="15.75">
      <c r="N2307" s="672"/>
    </row>
    <row r="2308" ht="15.75">
      <c r="N2308" s="672"/>
    </row>
    <row r="2309" ht="15.75">
      <c r="N2309" s="672"/>
    </row>
    <row r="2310" ht="15.75">
      <c r="N2310" s="672"/>
    </row>
    <row r="2311" ht="15.75">
      <c r="N2311" s="672"/>
    </row>
    <row r="2312" ht="15.75">
      <c r="N2312" s="672"/>
    </row>
    <row r="2313" ht="15.75">
      <c r="N2313" s="672"/>
    </row>
    <row r="2314" ht="15.75">
      <c r="N2314" s="672"/>
    </row>
    <row r="2315" ht="15.75">
      <c r="N2315" s="672"/>
    </row>
    <row r="2316" ht="15.75">
      <c r="N2316" s="672"/>
    </row>
    <row r="2317" ht="15.75">
      <c r="N2317" s="672"/>
    </row>
    <row r="2318" ht="15.75">
      <c r="N2318" s="672"/>
    </row>
    <row r="2319" ht="15.75">
      <c r="N2319" s="672"/>
    </row>
    <row r="2320" ht="15.75">
      <c r="N2320" s="672"/>
    </row>
    <row r="2321" ht="15.75">
      <c r="N2321" s="672"/>
    </row>
    <row r="2322" ht="15.75">
      <c r="N2322" s="672"/>
    </row>
    <row r="2323" ht="15.75">
      <c r="N2323" s="672"/>
    </row>
    <row r="2324" ht="15.75">
      <c r="N2324" s="672"/>
    </row>
    <row r="2325" ht="15.75">
      <c r="N2325" s="672"/>
    </row>
    <row r="2326" ht="15.75">
      <c r="N2326" s="672"/>
    </row>
    <row r="2327" ht="15.75">
      <c r="N2327" s="672"/>
    </row>
    <row r="2328" ht="15.75">
      <c r="N2328" s="672"/>
    </row>
    <row r="2329" ht="15.75">
      <c r="N2329" s="672"/>
    </row>
    <row r="2330" ht="15.75">
      <c r="N2330" s="672"/>
    </row>
    <row r="2331" ht="15.75">
      <c r="N2331" s="672"/>
    </row>
    <row r="2332" ht="15.75">
      <c r="N2332" s="672"/>
    </row>
    <row r="2333" ht="15.75">
      <c r="N2333" s="672"/>
    </row>
    <row r="2334" ht="15.75">
      <c r="N2334" s="672"/>
    </row>
    <row r="2335" ht="15.75">
      <c r="N2335" s="672"/>
    </row>
    <row r="2336" ht="15.75">
      <c r="N2336" s="672"/>
    </row>
    <row r="2337" ht="15.75">
      <c r="N2337" s="672"/>
    </row>
    <row r="2338" ht="15.75">
      <c r="N2338" s="672"/>
    </row>
    <row r="2339" ht="15.75">
      <c r="N2339" s="672"/>
    </row>
    <row r="2340" ht="15.75">
      <c r="N2340" s="672"/>
    </row>
    <row r="2341" ht="15.75">
      <c r="N2341" s="672"/>
    </row>
    <row r="2342" ht="15.75">
      <c r="N2342" s="672"/>
    </row>
    <row r="2343" ht="15.75">
      <c r="N2343" s="672"/>
    </row>
    <row r="2344" ht="15.75">
      <c r="N2344" s="672"/>
    </row>
    <row r="2345" ht="15.75">
      <c r="N2345" s="672"/>
    </row>
    <row r="2346" ht="15.75">
      <c r="N2346" s="672"/>
    </row>
    <row r="2347" ht="15.75">
      <c r="N2347" s="672"/>
    </row>
    <row r="2348" ht="15.75">
      <c r="N2348" s="672"/>
    </row>
    <row r="2349" ht="15.75">
      <c r="N2349" s="672"/>
    </row>
    <row r="2350" ht="15.75">
      <c r="N2350" s="672"/>
    </row>
    <row r="2351" ht="15.75">
      <c r="N2351" s="672"/>
    </row>
    <row r="2352" ht="15.75">
      <c r="N2352" s="672"/>
    </row>
    <row r="2353" ht="15.75">
      <c r="N2353" s="672"/>
    </row>
    <row r="2354" ht="15.75">
      <c r="N2354" s="672"/>
    </row>
    <row r="2355" ht="15.75">
      <c r="N2355" s="672"/>
    </row>
    <row r="2356" ht="15.75">
      <c r="N2356" s="672"/>
    </row>
    <row r="2357" ht="15.75">
      <c r="N2357" s="672"/>
    </row>
    <row r="2358" ht="15.75">
      <c r="N2358" s="672"/>
    </row>
    <row r="2359" ht="15.75">
      <c r="N2359" s="672"/>
    </row>
    <row r="2360" ht="15.75">
      <c r="N2360" s="672"/>
    </row>
    <row r="2361" ht="15.75">
      <c r="N2361" s="672"/>
    </row>
    <row r="2362" ht="15.75">
      <c r="N2362" s="672"/>
    </row>
    <row r="2363" ht="15.75">
      <c r="N2363" s="672"/>
    </row>
    <row r="2364" ht="15.75">
      <c r="N2364" s="672"/>
    </row>
    <row r="2365" ht="15.75">
      <c r="N2365" s="672"/>
    </row>
    <row r="2366" ht="15.75">
      <c r="N2366" s="672"/>
    </row>
    <row r="2367" ht="15.75">
      <c r="N2367" s="672"/>
    </row>
    <row r="2368" ht="15.75">
      <c r="N2368" s="672"/>
    </row>
    <row r="2369" ht="15.75">
      <c r="N2369" s="672"/>
    </row>
    <row r="2370" ht="15.75">
      <c r="N2370" s="672"/>
    </row>
    <row r="2371" ht="15.75">
      <c r="N2371" s="672"/>
    </row>
    <row r="2372" ht="15.75">
      <c r="N2372" s="672"/>
    </row>
    <row r="2373" ht="15.75">
      <c r="N2373" s="672"/>
    </row>
    <row r="2374" ht="15.75">
      <c r="N2374" s="672"/>
    </row>
    <row r="2375" ht="15.75">
      <c r="N2375" s="672"/>
    </row>
    <row r="2376" ht="15.75">
      <c r="N2376" s="672"/>
    </row>
    <row r="2377" ht="15.75">
      <c r="N2377" s="672"/>
    </row>
    <row r="2378" ht="15.75">
      <c r="N2378" s="672"/>
    </row>
    <row r="2379" ht="15.75">
      <c r="N2379" s="672"/>
    </row>
    <row r="2380" ht="15.75">
      <c r="N2380" s="672"/>
    </row>
    <row r="2381" ht="15.75">
      <c r="N2381" s="672"/>
    </row>
    <row r="2382" ht="15.75">
      <c r="N2382" s="672"/>
    </row>
    <row r="2383" ht="15.75">
      <c r="N2383" s="672"/>
    </row>
    <row r="2384" ht="15.75">
      <c r="N2384" s="672"/>
    </row>
    <row r="2385" ht="15.75">
      <c r="N2385" s="672"/>
    </row>
    <row r="2386" ht="15.75">
      <c r="N2386" s="672"/>
    </row>
    <row r="2387" ht="15.75">
      <c r="N2387" s="672"/>
    </row>
    <row r="2388" ht="15.75">
      <c r="N2388" s="672"/>
    </row>
    <row r="2389" ht="15.75">
      <c r="N2389" s="672"/>
    </row>
    <row r="2390" ht="15.75">
      <c r="N2390" s="672"/>
    </row>
    <row r="2391" ht="15.75">
      <c r="N2391" s="672"/>
    </row>
    <row r="2392" ht="15.75">
      <c r="N2392" s="672"/>
    </row>
    <row r="2393" ht="15.75">
      <c r="N2393" s="672"/>
    </row>
    <row r="2394" ht="15.75">
      <c r="N2394" s="672"/>
    </row>
    <row r="2395" ht="15.75">
      <c r="N2395" s="672"/>
    </row>
    <row r="2396" ht="15.75">
      <c r="N2396" s="672"/>
    </row>
    <row r="2397" ht="15.75">
      <c r="N2397" s="672"/>
    </row>
    <row r="2398" ht="15.75">
      <c r="N2398" s="672"/>
    </row>
    <row r="2399" ht="15.75">
      <c r="N2399" s="672"/>
    </row>
    <row r="2400" ht="15.75">
      <c r="N2400" s="672"/>
    </row>
    <row r="2401" ht="15.75">
      <c r="N2401" s="672"/>
    </row>
    <row r="2402" ht="15.75">
      <c r="N2402" s="672"/>
    </row>
    <row r="2403" ht="15.75">
      <c r="N2403" s="672"/>
    </row>
    <row r="2404" ht="15.75">
      <c r="N2404" s="672"/>
    </row>
    <row r="2405" ht="15.75">
      <c r="N2405" s="672"/>
    </row>
    <row r="2406" ht="15.75">
      <c r="N2406" s="672"/>
    </row>
    <row r="2407" ht="15.75">
      <c r="N2407" s="672"/>
    </row>
    <row r="2408" ht="15.75">
      <c r="N2408" s="672"/>
    </row>
    <row r="2409" ht="15.75">
      <c r="N2409" s="672"/>
    </row>
    <row r="2410" ht="15.75">
      <c r="N2410" s="672"/>
    </row>
    <row r="2411" ht="15.75">
      <c r="N2411" s="672"/>
    </row>
    <row r="2412" ht="15.75">
      <c r="N2412" s="672"/>
    </row>
    <row r="2413" ht="15.75">
      <c r="N2413" s="672"/>
    </row>
    <row r="2414" ht="15.75">
      <c r="N2414" s="672"/>
    </row>
    <row r="2415" ht="15.75">
      <c r="N2415" s="672"/>
    </row>
    <row r="2416" ht="15.75">
      <c r="N2416" s="672"/>
    </row>
    <row r="2417" ht="15.75">
      <c r="N2417" s="672"/>
    </row>
    <row r="2418" ht="15.75">
      <c r="N2418" s="672"/>
    </row>
    <row r="2419" ht="15.75">
      <c r="N2419" s="672"/>
    </row>
    <row r="2420" ht="15.75">
      <c r="N2420" s="672"/>
    </row>
    <row r="2421" ht="15.75">
      <c r="N2421" s="672"/>
    </row>
    <row r="2422" ht="15.75">
      <c r="N2422" s="672"/>
    </row>
    <row r="2423" ht="15.75">
      <c r="N2423" s="672"/>
    </row>
    <row r="2424" ht="15.75">
      <c r="N2424" s="672"/>
    </row>
    <row r="2425" ht="15.75">
      <c r="N2425" s="672"/>
    </row>
    <row r="2426" ht="15.75">
      <c r="N2426" s="672"/>
    </row>
    <row r="2427" ht="15.75">
      <c r="N2427" s="672"/>
    </row>
    <row r="2428" ht="15.75">
      <c r="N2428" s="672"/>
    </row>
    <row r="2429" ht="15.75">
      <c r="N2429" s="672"/>
    </row>
    <row r="2430" ht="15.75">
      <c r="N2430" s="672"/>
    </row>
    <row r="2431" ht="15.75">
      <c r="N2431" s="672"/>
    </row>
    <row r="2432" ht="15.75">
      <c r="N2432" s="672"/>
    </row>
    <row r="2433" ht="15.75">
      <c r="N2433" s="672"/>
    </row>
    <row r="2434" ht="15.75">
      <c r="N2434" s="672"/>
    </row>
    <row r="2435" ht="15.75">
      <c r="N2435" s="672"/>
    </row>
    <row r="2436" ht="15.75">
      <c r="N2436" s="672"/>
    </row>
    <row r="2437" ht="15.75">
      <c r="N2437" s="672"/>
    </row>
    <row r="2438" ht="15.75">
      <c r="N2438" s="672"/>
    </row>
    <row r="2439" ht="15.75">
      <c r="N2439" s="672"/>
    </row>
    <row r="2440" ht="15.75">
      <c r="N2440" s="672"/>
    </row>
    <row r="2441" ht="15.75">
      <c r="N2441" s="672"/>
    </row>
    <row r="2442" ht="15.75">
      <c r="N2442" s="672"/>
    </row>
    <row r="2443" ht="15.75">
      <c r="N2443" s="672"/>
    </row>
    <row r="2444" ht="15.75">
      <c r="N2444" s="672"/>
    </row>
    <row r="2445" ht="15.75">
      <c r="N2445" s="672"/>
    </row>
    <row r="2446" ht="15.75">
      <c r="N2446" s="672"/>
    </row>
    <row r="2447" ht="15.75">
      <c r="N2447" s="672"/>
    </row>
    <row r="2448" ht="15.75">
      <c r="N2448" s="672"/>
    </row>
    <row r="2449" ht="15.75">
      <c r="N2449" s="672"/>
    </row>
    <row r="2450" ht="15.75">
      <c r="N2450" s="672"/>
    </row>
    <row r="2451" ht="15.75">
      <c r="N2451" s="672"/>
    </row>
    <row r="2452" ht="15.75">
      <c r="N2452" s="672"/>
    </row>
    <row r="2453" ht="15.75">
      <c r="N2453" s="672"/>
    </row>
    <row r="2454" ht="15.75">
      <c r="N2454" s="672"/>
    </row>
    <row r="2455" ht="15.75">
      <c r="N2455" s="672"/>
    </row>
    <row r="2456" ht="15.75">
      <c r="N2456" s="672"/>
    </row>
    <row r="2457" ht="15.75">
      <c r="N2457" s="672"/>
    </row>
    <row r="2458" ht="15.75">
      <c r="N2458" s="672"/>
    </row>
    <row r="2459" ht="15.75">
      <c r="N2459" s="672"/>
    </row>
    <row r="2460" ht="15.75">
      <c r="N2460" s="672"/>
    </row>
    <row r="2461" ht="15.75">
      <c r="N2461" s="672"/>
    </row>
    <row r="2462" ht="15.75">
      <c r="N2462" s="672"/>
    </row>
    <row r="2463" ht="15.75">
      <c r="N2463" s="672"/>
    </row>
    <row r="2464" ht="15.75">
      <c r="N2464" s="672"/>
    </row>
    <row r="2465" ht="15.75">
      <c r="N2465" s="672"/>
    </row>
    <row r="2466" ht="15.75">
      <c r="N2466" s="672"/>
    </row>
    <row r="2467" ht="15.75">
      <c r="N2467" s="672"/>
    </row>
    <row r="2468" ht="15.75">
      <c r="N2468" s="672"/>
    </row>
    <row r="2469" ht="15.75">
      <c r="N2469" s="672"/>
    </row>
    <row r="2470" ht="15.75">
      <c r="N2470" s="672"/>
    </row>
    <row r="2471" ht="15.75">
      <c r="N2471" s="672"/>
    </row>
    <row r="2472" ht="15.75">
      <c r="N2472" s="672"/>
    </row>
    <row r="2473" ht="15.75">
      <c r="N2473" s="672"/>
    </row>
    <row r="2474" ht="15.75">
      <c r="N2474" s="672"/>
    </row>
    <row r="2475" ht="15.75">
      <c r="N2475" s="672"/>
    </row>
    <row r="2476" ht="15.75">
      <c r="N2476" s="672"/>
    </row>
    <row r="2477" ht="15.75">
      <c r="N2477" s="672"/>
    </row>
    <row r="2478" ht="15.75">
      <c r="N2478" s="672"/>
    </row>
    <row r="2479" ht="15.75">
      <c r="N2479" s="672"/>
    </row>
    <row r="2480" ht="15.75">
      <c r="N2480" s="672"/>
    </row>
    <row r="2481" ht="15.75">
      <c r="N2481" s="672"/>
    </row>
    <row r="2482" ht="15.75">
      <c r="N2482" s="672"/>
    </row>
    <row r="2483" ht="15.75">
      <c r="N2483" s="672"/>
    </row>
    <row r="2484" ht="15.75">
      <c r="N2484" s="672"/>
    </row>
    <row r="2485" ht="15.75">
      <c r="N2485" s="672"/>
    </row>
    <row r="2486" ht="15.75">
      <c r="N2486" s="672"/>
    </row>
    <row r="2487" ht="15.75">
      <c r="N2487" s="672"/>
    </row>
    <row r="2488" ht="15.75">
      <c r="N2488" s="672"/>
    </row>
    <row r="2489" ht="15.75">
      <c r="N2489" s="672"/>
    </row>
    <row r="2490" ht="15.75">
      <c r="N2490" s="672"/>
    </row>
    <row r="2491" ht="15.75">
      <c r="N2491" s="672"/>
    </row>
    <row r="2492" ht="15.75">
      <c r="N2492" s="672"/>
    </row>
    <row r="2493" ht="15.75">
      <c r="N2493" s="672"/>
    </row>
    <row r="2494" ht="15.75">
      <c r="N2494" s="672"/>
    </row>
    <row r="2495" ht="15.75">
      <c r="N2495" s="672"/>
    </row>
    <row r="2496" ht="15.75">
      <c r="N2496" s="672"/>
    </row>
    <row r="2497" ht="15.75">
      <c r="N2497" s="672"/>
    </row>
    <row r="2498" ht="15.75">
      <c r="N2498" s="672"/>
    </row>
    <row r="2499" ht="15.75">
      <c r="N2499" s="672"/>
    </row>
    <row r="2500" ht="15.75">
      <c r="N2500" s="672"/>
    </row>
    <row r="2501" ht="15.75">
      <c r="N2501" s="672"/>
    </row>
    <row r="2502" ht="15.75">
      <c r="N2502" s="672"/>
    </row>
    <row r="2503" ht="15.75">
      <c r="N2503" s="672"/>
    </row>
    <row r="2504" ht="15.75">
      <c r="N2504" s="672"/>
    </row>
    <row r="2505" ht="15.75">
      <c r="N2505" s="672"/>
    </row>
    <row r="2506" ht="15.75">
      <c r="N2506" s="672"/>
    </row>
    <row r="2507" ht="15.75">
      <c r="N2507" s="672"/>
    </row>
    <row r="2508" ht="15.75">
      <c r="N2508" s="672"/>
    </row>
    <row r="2509" ht="15.75">
      <c r="N2509" s="672"/>
    </row>
    <row r="2510" ht="15.75">
      <c r="N2510" s="672"/>
    </row>
    <row r="2511" ht="15.75">
      <c r="N2511" s="672"/>
    </row>
    <row r="2512" ht="15.75">
      <c r="N2512" s="672"/>
    </row>
    <row r="2513" ht="15.75">
      <c r="N2513" s="672"/>
    </row>
    <row r="2514" ht="15.75">
      <c r="N2514" s="672"/>
    </row>
    <row r="2515" ht="15.75">
      <c r="N2515" s="672"/>
    </row>
    <row r="2516" ht="15.75">
      <c r="N2516" s="672"/>
    </row>
    <row r="2517" ht="15.75">
      <c r="N2517" s="672"/>
    </row>
    <row r="2518" ht="15.75">
      <c r="N2518" s="672"/>
    </row>
    <row r="2519" ht="15.75">
      <c r="N2519" s="672"/>
    </row>
    <row r="2520" ht="15.75">
      <c r="N2520" s="672"/>
    </row>
    <row r="2521" ht="15.75">
      <c r="N2521" s="672"/>
    </row>
    <row r="2522" ht="15.75">
      <c r="N2522" s="672"/>
    </row>
    <row r="2523" ht="15.75">
      <c r="N2523" s="672"/>
    </row>
    <row r="2524" ht="15.75">
      <c r="N2524" s="672"/>
    </row>
    <row r="2525" ht="15.75">
      <c r="N2525" s="672"/>
    </row>
    <row r="2526" ht="15.75">
      <c r="N2526" s="672"/>
    </row>
    <row r="2527" ht="15.75">
      <c r="N2527" s="672"/>
    </row>
    <row r="2528" ht="15.75">
      <c r="N2528" s="672"/>
    </row>
    <row r="2529" ht="15.75">
      <c r="N2529" s="672"/>
    </row>
    <row r="2530" ht="15.75">
      <c r="N2530" s="672"/>
    </row>
    <row r="2531" ht="15.75">
      <c r="N2531" s="672"/>
    </row>
    <row r="2532" ht="15.75">
      <c r="N2532" s="672"/>
    </row>
    <row r="2533" ht="15.75">
      <c r="N2533" s="672"/>
    </row>
    <row r="2534" ht="15.75">
      <c r="N2534" s="672"/>
    </row>
    <row r="2535" ht="15.75">
      <c r="N2535" s="672"/>
    </row>
    <row r="2536" ht="15.75">
      <c r="N2536" s="672"/>
    </row>
    <row r="2537" ht="15.75">
      <c r="N2537" s="672"/>
    </row>
    <row r="2538" ht="15.75">
      <c r="N2538" s="672"/>
    </row>
    <row r="2539" ht="15.75">
      <c r="N2539" s="672"/>
    </row>
    <row r="2540" ht="15.75">
      <c r="N2540" s="672"/>
    </row>
    <row r="2541" ht="15.75">
      <c r="N2541" s="672"/>
    </row>
    <row r="2542" ht="15.75">
      <c r="N2542" s="672"/>
    </row>
    <row r="2543" ht="15.75">
      <c r="N2543" s="672"/>
    </row>
    <row r="2544" ht="15.75">
      <c r="N2544" s="672"/>
    </row>
    <row r="2545" ht="15.75">
      <c r="N2545" s="672"/>
    </row>
    <row r="2546" ht="15.75">
      <c r="N2546" s="672"/>
    </row>
    <row r="2547" ht="15.75">
      <c r="N2547" s="672"/>
    </row>
    <row r="2548" ht="15.75">
      <c r="N2548" s="672"/>
    </row>
    <row r="2549" ht="15.75">
      <c r="N2549" s="672"/>
    </row>
    <row r="2550" ht="15.75">
      <c r="N2550" s="672"/>
    </row>
    <row r="2551" ht="15.75">
      <c r="N2551" s="672"/>
    </row>
    <row r="2552" ht="15.75">
      <c r="N2552" s="672"/>
    </row>
    <row r="2553" ht="15.75">
      <c r="N2553" s="672"/>
    </row>
    <row r="2554" ht="15.75">
      <c r="N2554" s="672"/>
    </row>
    <row r="2555" ht="15.75">
      <c r="N2555" s="672"/>
    </row>
    <row r="2556" ht="15.75">
      <c r="N2556" s="672"/>
    </row>
    <row r="2557" ht="15.75">
      <c r="N2557" s="672"/>
    </row>
    <row r="2558" ht="15.75">
      <c r="N2558" s="672"/>
    </row>
    <row r="2559" ht="15.75">
      <c r="N2559" s="672"/>
    </row>
    <row r="2560" ht="15.75">
      <c r="N2560" s="672"/>
    </row>
    <row r="2561" ht="15.75">
      <c r="N2561" s="672"/>
    </row>
    <row r="2562" ht="15.75">
      <c r="N2562" s="672"/>
    </row>
    <row r="2563" ht="15.75">
      <c r="N2563" s="672"/>
    </row>
    <row r="2564" ht="15.75">
      <c r="N2564" s="672"/>
    </row>
    <row r="2565" ht="15.75">
      <c r="N2565" s="672"/>
    </row>
    <row r="2566" ht="15.75">
      <c r="N2566" s="672"/>
    </row>
    <row r="2567" ht="15.75">
      <c r="N2567" s="672"/>
    </row>
    <row r="2568" ht="15.75">
      <c r="N2568" s="672"/>
    </row>
    <row r="2569" ht="15.75">
      <c r="N2569" s="672"/>
    </row>
    <row r="2570" ht="15.75">
      <c r="N2570" s="672"/>
    </row>
    <row r="2571" ht="15.75">
      <c r="N2571" s="672"/>
    </row>
    <row r="2572" ht="15.75">
      <c r="N2572" s="672"/>
    </row>
    <row r="2573" ht="15.75">
      <c r="N2573" s="672"/>
    </row>
    <row r="2574" ht="15.75">
      <c r="N2574" s="672"/>
    </row>
    <row r="2575" ht="15.75">
      <c r="N2575" s="672"/>
    </row>
    <row r="2576" ht="15.75">
      <c r="N2576" s="672"/>
    </row>
    <row r="2577" ht="15.75">
      <c r="N2577" s="672"/>
    </row>
    <row r="2578" ht="15.75">
      <c r="N2578" s="672"/>
    </row>
    <row r="2579" ht="15.75">
      <c r="N2579" s="672"/>
    </row>
    <row r="2580" ht="15.75">
      <c r="N2580" s="672"/>
    </row>
    <row r="2581" ht="15.75">
      <c r="N2581" s="672"/>
    </row>
    <row r="2582" ht="15.75">
      <c r="N2582" s="672"/>
    </row>
    <row r="2583" ht="15.75">
      <c r="N2583" s="672"/>
    </row>
    <row r="2584" ht="15.75">
      <c r="N2584" s="672"/>
    </row>
    <row r="2585" ht="15.75">
      <c r="N2585" s="672"/>
    </row>
    <row r="2586" ht="15.75">
      <c r="N2586" s="672"/>
    </row>
    <row r="2587" ht="15.75">
      <c r="N2587" s="672"/>
    </row>
    <row r="2588" ht="15.75">
      <c r="N2588" s="672"/>
    </row>
    <row r="2589" ht="15.75">
      <c r="N2589" s="672"/>
    </row>
    <row r="2590" ht="15.75">
      <c r="N2590" s="672"/>
    </row>
    <row r="2591" ht="15.75">
      <c r="N2591" s="672"/>
    </row>
    <row r="2592" ht="15.75">
      <c r="N2592" s="672"/>
    </row>
    <row r="2593" ht="15.75">
      <c r="N2593" s="672"/>
    </row>
    <row r="2594" ht="15.75">
      <c r="N2594" s="672"/>
    </row>
    <row r="2595" ht="15.75">
      <c r="N2595" s="672"/>
    </row>
    <row r="2596" ht="15.75">
      <c r="N2596" s="672"/>
    </row>
    <row r="2597" ht="15.75">
      <c r="N2597" s="672"/>
    </row>
    <row r="2598" ht="15.75">
      <c r="N2598" s="672"/>
    </row>
    <row r="2599" ht="15.75">
      <c r="N2599" s="672"/>
    </row>
    <row r="2600" ht="15.75">
      <c r="N2600" s="672"/>
    </row>
    <row r="2601" ht="15.75">
      <c r="N2601" s="672"/>
    </row>
    <row r="2602" ht="15.75">
      <c r="N2602" s="672"/>
    </row>
    <row r="2603" ht="15.75">
      <c r="N2603" s="672"/>
    </row>
    <row r="2604" ht="15.75">
      <c r="N2604" s="672"/>
    </row>
    <row r="2605" ht="15.75">
      <c r="N2605" s="672"/>
    </row>
    <row r="2606" ht="15.75">
      <c r="N2606" s="672"/>
    </row>
    <row r="2607" ht="15.75">
      <c r="N2607" s="672"/>
    </row>
    <row r="2608" ht="15.75">
      <c r="N2608" s="672"/>
    </row>
    <row r="2609" ht="15.75">
      <c r="N2609" s="672"/>
    </row>
    <row r="2610" ht="15.75">
      <c r="N2610" s="672"/>
    </row>
    <row r="2611" ht="15.75">
      <c r="N2611" s="672"/>
    </row>
    <row r="2612" ht="15.75">
      <c r="N2612" s="672"/>
    </row>
    <row r="2613" ht="15.75">
      <c r="N2613" s="672"/>
    </row>
    <row r="2614" ht="15.75">
      <c r="N2614" s="672"/>
    </row>
    <row r="2615" ht="15.75">
      <c r="N2615" s="672"/>
    </row>
    <row r="2616" ht="15.75">
      <c r="N2616" s="672"/>
    </row>
    <row r="2617" ht="15.75">
      <c r="N2617" s="672"/>
    </row>
    <row r="2618" ht="15.75">
      <c r="N2618" s="672"/>
    </row>
    <row r="2619" ht="15.75">
      <c r="N2619" s="672"/>
    </row>
    <row r="2620" ht="15.75">
      <c r="N2620" s="672"/>
    </row>
    <row r="2621" ht="15.75">
      <c r="N2621" s="672"/>
    </row>
    <row r="2622" ht="15.75">
      <c r="N2622" s="672"/>
    </row>
    <row r="2623" ht="15.75">
      <c r="N2623" s="672"/>
    </row>
    <row r="2624" ht="15.75">
      <c r="N2624" s="672"/>
    </row>
    <row r="2625" ht="15.75">
      <c r="N2625" s="672"/>
    </row>
    <row r="2626" ht="15.75">
      <c r="N2626" s="672"/>
    </row>
    <row r="2627" ht="15.75">
      <c r="N2627" s="672"/>
    </row>
    <row r="2628" ht="15.75">
      <c r="N2628" s="672"/>
    </row>
    <row r="2629" ht="15.75">
      <c r="N2629" s="672"/>
    </row>
    <row r="2630" ht="15.75">
      <c r="N2630" s="672"/>
    </row>
    <row r="2631" ht="15.75">
      <c r="N2631" s="672"/>
    </row>
    <row r="2632" ht="15.75">
      <c r="N2632" s="672"/>
    </row>
    <row r="2633" ht="15.75">
      <c r="N2633" s="672"/>
    </row>
    <row r="2634" ht="15.75">
      <c r="N2634" s="672"/>
    </row>
    <row r="2635" ht="15.75">
      <c r="N2635" s="672"/>
    </row>
    <row r="2636" ht="15.75">
      <c r="N2636" s="672"/>
    </row>
    <row r="2637" ht="15.75">
      <c r="N2637" s="672"/>
    </row>
    <row r="2638" ht="15.75">
      <c r="N2638" s="672"/>
    </row>
    <row r="2639" ht="15.75">
      <c r="N2639" s="672"/>
    </row>
    <row r="2640" ht="15.75">
      <c r="N2640" s="672"/>
    </row>
    <row r="2641" ht="15.75">
      <c r="N2641" s="672"/>
    </row>
    <row r="2642" ht="15.75">
      <c r="N2642" s="672"/>
    </row>
    <row r="2643" ht="15.75">
      <c r="N2643" s="672"/>
    </row>
    <row r="2644" ht="15.75">
      <c r="N2644" s="672"/>
    </row>
    <row r="2645" ht="15.75">
      <c r="N2645" s="672"/>
    </row>
    <row r="2646" ht="15.75">
      <c r="N2646" s="672"/>
    </row>
    <row r="2647" ht="15.75">
      <c r="N2647" s="672"/>
    </row>
    <row r="2648" ht="15.75">
      <c r="N2648" s="672"/>
    </row>
    <row r="2649" ht="15.75">
      <c r="N2649" s="672"/>
    </row>
    <row r="2650" ht="15.75">
      <c r="N2650" s="672"/>
    </row>
    <row r="2651" ht="15.75">
      <c r="N2651" s="672"/>
    </row>
    <row r="2652" ht="15.75">
      <c r="N2652" s="672"/>
    </row>
    <row r="2653" ht="15.75">
      <c r="N2653" s="672"/>
    </row>
    <row r="2654" ht="15.75">
      <c r="N2654" s="672"/>
    </row>
    <row r="2655" ht="15.75">
      <c r="N2655" s="672"/>
    </row>
    <row r="2656" ht="15.75">
      <c r="N2656" s="672"/>
    </row>
    <row r="2657" ht="15.75">
      <c r="N2657" s="672"/>
    </row>
    <row r="2658" ht="15.75">
      <c r="N2658" s="672"/>
    </row>
    <row r="2659" ht="15.75">
      <c r="N2659" s="672"/>
    </row>
    <row r="2660" ht="15.75">
      <c r="N2660" s="672"/>
    </row>
    <row r="2661" ht="15.75">
      <c r="N2661" s="672"/>
    </row>
    <row r="2662" ht="15.75">
      <c r="N2662" s="672"/>
    </row>
    <row r="2663" ht="15.75">
      <c r="N2663" s="672"/>
    </row>
    <row r="2664" ht="15.75">
      <c r="N2664" s="672"/>
    </row>
    <row r="2665" ht="15.75">
      <c r="N2665" s="672"/>
    </row>
    <row r="2666" ht="15.75">
      <c r="N2666" s="672"/>
    </row>
    <row r="2667" ht="15.75">
      <c r="N2667" s="672"/>
    </row>
    <row r="2668" ht="15.75">
      <c r="N2668" s="672"/>
    </row>
    <row r="2669" ht="15.75">
      <c r="N2669" s="672"/>
    </row>
    <row r="2670" ht="15.75">
      <c r="N2670" s="672"/>
    </row>
    <row r="2671" ht="15.75">
      <c r="N2671" s="672"/>
    </row>
    <row r="2672" ht="15.75">
      <c r="N2672" s="672"/>
    </row>
    <row r="2673" ht="15.75">
      <c r="N2673" s="672"/>
    </row>
    <row r="2674" ht="15.75">
      <c r="N2674" s="672"/>
    </row>
    <row r="2675" ht="15.75">
      <c r="N2675" s="672"/>
    </row>
    <row r="2676" ht="15.75">
      <c r="N2676" s="672"/>
    </row>
    <row r="2677" ht="15.75">
      <c r="N2677" s="672"/>
    </row>
    <row r="2678" ht="15.75">
      <c r="N2678" s="672"/>
    </row>
    <row r="2679" ht="15.75">
      <c r="N2679" s="672"/>
    </row>
    <row r="2680" ht="15.75">
      <c r="N2680" s="672"/>
    </row>
    <row r="2681" ht="15.75">
      <c r="N2681" s="672"/>
    </row>
    <row r="2682" ht="15.75">
      <c r="N2682" s="672"/>
    </row>
    <row r="2683" ht="15.75">
      <c r="N2683" s="672"/>
    </row>
    <row r="2684" ht="15.75">
      <c r="N2684" s="672"/>
    </row>
    <row r="2685" ht="15.75">
      <c r="N2685" s="672"/>
    </row>
    <row r="2686" ht="15.75">
      <c r="N2686" s="672"/>
    </row>
    <row r="2687" ht="15.75">
      <c r="N2687" s="672"/>
    </row>
    <row r="2688" ht="15.75">
      <c r="N2688" s="672"/>
    </row>
    <row r="2689" ht="15.75">
      <c r="N2689" s="672"/>
    </row>
    <row r="2690" ht="15.75">
      <c r="N2690" s="672"/>
    </row>
    <row r="2691" ht="15.75">
      <c r="N2691" s="672"/>
    </row>
    <row r="2692" ht="15.75">
      <c r="N2692" s="672"/>
    </row>
    <row r="2693" ht="15.75">
      <c r="N2693" s="672"/>
    </row>
    <row r="2694" ht="15.75">
      <c r="N2694" s="672"/>
    </row>
    <row r="2695" ht="15.75">
      <c r="N2695" s="672"/>
    </row>
    <row r="2696" ht="15.75">
      <c r="N2696" s="672"/>
    </row>
    <row r="2697" ht="15.75">
      <c r="N2697" s="672"/>
    </row>
    <row r="2698" ht="15.75">
      <c r="N2698" s="672"/>
    </row>
    <row r="2699" ht="15.75">
      <c r="N2699" s="672"/>
    </row>
    <row r="2700" ht="15.75">
      <c r="N2700" s="672"/>
    </row>
    <row r="2701" ht="15.75">
      <c r="N2701" s="672"/>
    </row>
    <row r="2702" ht="15.75">
      <c r="N2702" s="672"/>
    </row>
    <row r="2703" ht="15.75">
      <c r="N2703" s="672"/>
    </row>
    <row r="2704" ht="15.75">
      <c r="N2704" s="672"/>
    </row>
    <row r="2705" ht="15.75">
      <c r="N2705" s="672"/>
    </row>
    <row r="2706" ht="15.75">
      <c r="N2706" s="672"/>
    </row>
    <row r="2707" ht="15.75">
      <c r="N2707" s="672"/>
    </row>
    <row r="2708" ht="15.75">
      <c r="N2708" s="672"/>
    </row>
    <row r="2709" ht="15.75">
      <c r="N2709" s="672"/>
    </row>
    <row r="2710" ht="15.75">
      <c r="N2710" s="672"/>
    </row>
    <row r="2711" ht="15.75">
      <c r="N2711" s="672"/>
    </row>
    <row r="2712" ht="15.75">
      <c r="N2712" s="672"/>
    </row>
    <row r="2713" ht="15.75">
      <c r="N2713" s="672"/>
    </row>
    <row r="2714" ht="15.75">
      <c r="N2714" s="672"/>
    </row>
    <row r="2715" ht="15.75">
      <c r="N2715" s="672"/>
    </row>
    <row r="2716" ht="15.75">
      <c r="N2716" s="672"/>
    </row>
    <row r="2717" ht="15.75">
      <c r="N2717" s="672"/>
    </row>
    <row r="2718" ht="15.75">
      <c r="N2718" s="672"/>
    </row>
    <row r="2719" ht="15.75">
      <c r="N2719" s="672"/>
    </row>
    <row r="2720" ht="15.75">
      <c r="N2720" s="672"/>
    </row>
    <row r="2721" ht="15.75">
      <c r="N2721" s="672"/>
    </row>
    <row r="2722" ht="15.75">
      <c r="N2722" s="672"/>
    </row>
    <row r="2723" ht="15.75">
      <c r="N2723" s="672"/>
    </row>
    <row r="2724" ht="15.75">
      <c r="N2724" s="672"/>
    </row>
    <row r="2725" ht="15.75">
      <c r="N2725" s="672"/>
    </row>
    <row r="2726" ht="15.75">
      <c r="N2726" s="672"/>
    </row>
    <row r="2727" ht="15.75">
      <c r="N2727" s="672"/>
    </row>
    <row r="2728" ht="15.75">
      <c r="N2728" s="672"/>
    </row>
    <row r="2729" ht="15.75">
      <c r="N2729" s="672"/>
    </row>
    <row r="2730" ht="15.75">
      <c r="N2730" s="672"/>
    </row>
    <row r="2731" ht="15.75">
      <c r="N2731" s="672"/>
    </row>
    <row r="2732" ht="15.75">
      <c r="N2732" s="672"/>
    </row>
    <row r="2733" ht="15.75">
      <c r="N2733" s="672"/>
    </row>
    <row r="2734" ht="15.75">
      <c r="N2734" s="672"/>
    </row>
    <row r="2735" ht="15.75">
      <c r="N2735" s="672"/>
    </row>
    <row r="2736" ht="15.75">
      <c r="N2736" s="672"/>
    </row>
    <row r="2737" ht="15.75">
      <c r="N2737" s="672"/>
    </row>
    <row r="2738" ht="15.75">
      <c r="N2738" s="672"/>
    </row>
    <row r="2739" ht="15.75">
      <c r="N2739" s="672"/>
    </row>
    <row r="2740" ht="15.75">
      <c r="N2740" s="672"/>
    </row>
    <row r="2741" ht="15.75">
      <c r="N2741" s="672"/>
    </row>
    <row r="2742" ht="15.75">
      <c r="N2742" s="672"/>
    </row>
    <row r="2743" ht="15.75">
      <c r="N2743" s="672"/>
    </row>
    <row r="2744" ht="15.75">
      <c r="N2744" s="672"/>
    </row>
    <row r="2745" ht="15.75">
      <c r="N2745" s="672"/>
    </row>
    <row r="2746" ht="15.75">
      <c r="N2746" s="672"/>
    </row>
    <row r="2747" ht="15.75">
      <c r="N2747" s="672"/>
    </row>
    <row r="2748" ht="15.75">
      <c r="N2748" s="672"/>
    </row>
    <row r="2749" ht="15.75">
      <c r="N2749" s="672"/>
    </row>
    <row r="2750" ht="15.75">
      <c r="N2750" s="672"/>
    </row>
    <row r="2751" ht="15.75">
      <c r="N2751" s="672"/>
    </row>
    <row r="2752" ht="15.75">
      <c r="N2752" s="672"/>
    </row>
    <row r="2753" ht="15.75">
      <c r="N2753" s="672"/>
    </row>
    <row r="2754" ht="15.75">
      <c r="N2754" s="672"/>
    </row>
    <row r="2755" ht="15.75">
      <c r="N2755" s="672"/>
    </row>
    <row r="2756" ht="15.75">
      <c r="N2756" s="672"/>
    </row>
    <row r="2757" ht="15.75">
      <c r="N2757" s="672"/>
    </row>
    <row r="2758" ht="15.75">
      <c r="N2758" s="672"/>
    </row>
    <row r="2759" ht="15.75">
      <c r="N2759" s="672"/>
    </row>
    <row r="2760" ht="15.75">
      <c r="N2760" s="672"/>
    </row>
    <row r="2761" ht="15.75">
      <c r="N2761" s="672"/>
    </row>
    <row r="2762" ht="15.75">
      <c r="N2762" s="672"/>
    </row>
    <row r="2763" ht="15.75">
      <c r="N2763" s="672"/>
    </row>
    <row r="2764" ht="15.75">
      <c r="N2764" s="672"/>
    </row>
    <row r="2765" ht="15.75">
      <c r="N2765" s="672"/>
    </row>
    <row r="2766" ht="15.75">
      <c r="N2766" s="672"/>
    </row>
    <row r="2767" ht="15.75">
      <c r="N2767" s="672"/>
    </row>
    <row r="2768" ht="15.75">
      <c r="N2768" s="672"/>
    </row>
    <row r="2769" ht="15.75">
      <c r="N2769" s="672"/>
    </row>
    <row r="2770" ht="15.75">
      <c r="N2770" s="672"/>
    </row>
    <row r="2771" ht="15.75">
      <c r="N2771" s="672"/>
    </row>
    <row r="2772" ht="15.75">
      <c r="N2772" s="672"/>
    </row>
    <row r="2773" ht="15.75">
      <c r="N2773" s="672"/>
    </row>
    <row r="2774" ht="15.75">
      <c r="N2774" s="672"/>
    </row>
    <row r="2775" ht="15.75">
      <c r="N2775" s="672"/>
    </row>
    <row r="2776" ht="15.75">
      <c r="N2776" s="672"/>
    </row>
    <row r="2777" ht="15.75">
      <c r="N2777" s="672"/>
    </row>
    <row r="2778" ht="15.75">
      <c r="N2778" s="672"/>
    </row>
    <row r="2779" ht="15.75">
      <c r="N2779" s="672"/>
    </row>
    <row r="2780" ht="15.75">
      <c r="N2780" s="672"/>
    </row>
    <row r="2781" ht="15.75">
      <c r="N2781" s="672"/>
    </row>
    <row r="2782" ht="15.75">
      <c r="N2782" s="672"/>
    </row>
    <row r="2783" ht="15.75">
      <c r="N2783" s="672"/>
    </row>
    <row r="2784" ht="15.75">
      <c r="N2784" s="672"/>
    </row>
    <row r="2785" ht="15.75">
      <c r="N2785" s="672"/>
    </row>
    <row r="2786" ht="15.75">
      <c r="N2786" s="672"/>
    </row>
    <row r="2787" ht="15.75">
      <c r="N2787" s="672"/>
    </row>
    <row r="2788" ht="15.75">
      <c r="N2788" s="672"/>
    </row>
    <row r="2789" ht="15.75">
      <c r="N2789" s="672"/>
    </row>
    <row r="2790" ht="15.75">
      <c r="N2790" s="672"/>
    </row>
    <row r="2791" ht="15.75">
      <c r="N2791" s="672"/>
    </row>
    <row r="2792" ht="15.75">
      <c r="N2792" s="672"/>
    </row>
    <row r="2793" ht="15.75">
      <c r="N2793" s="672"/>
    </row>
    <row r="2794" ht="15.75">
      <c r="N2794" s="672"/>
    </row>
    <row r="2795" ht="15.75">
      <c r="N2795" s="672"/>
    </row>
    <row r="2796" ht="15.75">
      <c r="N2796" s="672"/>
    </row>
    <row r="2797" ht="15.75">
      <c r="N2797" s="672"/>
    </row>
    <row r="2798" ht="15.75">
      <c r="N2798" s="672"/>
    </row>
    <row r="2799" ht="15.75">
      <c r="N2799" s="672"/>
    </row>
    <row r="2800" ht="15.75">
      <c r="N2800" s="672"/>
    </row>
    <row r="2801" ht="15.75">
      <c r="N2801" s="672"/>
    </row>
    <row r="2802" ht="15.75">
      <c r="N2802" s="672"/>
    </row>
    <row r="2803" ht="15.75">
      <c r="N2803" s="672"/>
    </row>
    <row r="2804" ht="15.75">
      <c r="N2804" s="672"/>
    </row>
    <row r="2805" ht="15.75">
      <c r="N2805" s="672"/>
    </row>
    <row r="2806" ht="15.75">
      <c r="N2806" s="672"/>
    </row>
    <row r="2807" ht="15.75">
      <c r="N2807" s="672"/>
    </row>
    <row r="2808" ht="15.75">
      <c r="N2808" s="672"/>
    </row>
    <row r="2809" ht="15.75">
      <c r="N2809" s="672"/>
    </row>
    <row r="2810" ht="15.75">
      <c r="N2810" s="672"/>
    </row>
    <row r="2811" ht="15.75">
      <c r="N2811" s="672"/>
    </row>
    <row r="2812" ht="15.75">
      <c r="N2812" s="672"/>
    </row>
    <row r="2813" ht="15.75">
      <c r="N2813" s="672"/>
    </row>
    <row r="2814" ht="15.75">
      <c r="N2814" s="672"/>
    </row>
    <row r="2815" ht="15.75">
      <c r="N2815" s="672"/>
    </row>
    <row r="2816" ht="15.75">
      <c r="N2816" s="672"/>
    </row>
    <row r="2817" ht="15.75">
      <c r="N2817" s="672"/>
    </row>
    <row r="2818" ht="15.75">
      <c r="N2818" s="672"/>
    </row>
    <row r="2819" ht="15.75">
      <c r="N2819" s="672"/>
    </row>
    <row r="2820" ht="15.75">
      <c r="N2820" s="672"/>
    </row>
    <row r="2821" ht="15.75">
      <c r="N2821" s="672"/>
    </row>
    <row r="2822" ht="15.75">
      <c r="N2822" s="672"/>
    </row>
    <row r="2823" ht="15.75">
      <c r="N2823" s="672"/>
    </row>
    <row r="2824" ht="15.75">
      <c r="N2824" s="672"/>
    </row>
    <row r="2825" ht="15.75">
      <c r="N2825" s="672"/>
    </row>
    <row r="2826" ht="15.75">
      <c r="N2826" s="672"/>
    </row>
    <row r="2827" ht="15.75">
      <c r="N2827" s="672"/>
    </row>
    <row r="2828" ht="15.75">
      <c r="N2828" s="672"/>
    </row>
    <row r="2829" ht="15.75">
      <c r="N2829" s="672"/>
    </row>
    <row r="2830" ht="15.75">
      <c r="N2830" s="672"/>
    </row>
    <row r="2831" ht="15.75">
      <c r="N2831" s="672"/>
    </row>
    <row r="2832" ht="15.75">
      <c r="N2832" s="672"/>
    </row>
    <row r="2833" ht="15.75">
      <c r="N2833" s="672"/>
    </row>
    <row r="2834" ht="15.75">
      <c r="N2834" s="672"/>
    </row>
    <row r="2835" ht="15.75">
      <c r="N2835" s="672"/>
    </row>
    <row r="2836" ht="15.75">
      <c r="N2836" s="672"/>
    </row>
    <row r="2837" ht="15.75">
      <c r="N2837" s="672"/>
    </row>
    <row r="2838" ht="15.75">
      <c r="N2838" s="672"/>
    </row>
    <row r="2839" ht="15.75">
      <c r="N2839" s="672"/>
    </row>
    <row r="2840" ht="15.75">
      <c r="N2840" s="672"/>
    </row>
    <row r="2841" ht="15.75">
      <c r="N2841" s="672"/>
    </row>
    <row r="2842" ht="15.75">
      <c r="N2842" s="672"/>
    </row>
    <row r="2843" ht="15.75">
      <c r="N2843" s="672"/>
    </row>
    <row r="2844" ht="15.75">
      <c r="N2844" s="672"/>
    </row>
    <row r="2845" ht="15.75">
      <c r="N2845" s="672"/>
    </row>
    <row r="2846" ht="15.75">
      <c r="N2846" s="672"/>
    </row>
    <row r="2847" ht="15.75">
      <c r="N2847" s="672"/>
    </row>
    <row r="2848" ht="15.75">
      <c r="N2848" s="672"/>
    </row>
    <row r="2849" ht="15.75">
      <c r="N2849" s="672"/>
    </row>
    <row r="2850" ht="15.75">
      <c r="N2850" s="672"/>
    </row>
    <row r="2851" ht="15.75">
      <c r="N2851" s="672"/>
    </row>
    <row r="2852" ht="15.75">
      <c r="N2852" s="672"/>
    </row>
    <row r="2853" ht="15.75">
      <c r="N2853" s="672"/>
    </row>
    <row r="2854" ht="15.75">
      <c r="N2854" s="672"/>
    </row>
    <row r="2855" ht="15.75">
      <c r="N2855" s="672"/>
    </row>
    <row r="2856" ht="15.75">
      <c r="N2856" s="672"/>
    </row>
    <row r="2857" ht="15.75">
      <c r="N2857" s="672"/>
    </row>
    <row r="2858" ht="15.75">
      <c r="N2858" s="672"/>
    </row>
    <row r="2859" ht="15.75">
      <c r="N2859" s="672"/>
    </row>
    <row r="2860" ht="15.75">
      <c r="N2860" s="672"/>
    </row>
    <row r="2861" ht="15.75">
      <c r="N2861" s="672"/>
    </row>
    <row r="2862" ht="15.75">
      <c r="N2862" s="672"/>
    </row>
    <row r="2863" ht="15.75">
      <c r="N2863" s="672"/>
    </row>
    <row r="2864" ht="15.75">
      <c r="N2864" s="672"/>
    </row>
    <row r="2865" ht="15.75">
      <c r="N2865" s="672"/>
    </row>
    <row r="2866" ht="15.75">
      <c r="N2866" s="672"/>
    </row>
    <row r="2867" ht="15.75">
      <c r="N2867" s="672"/>
    </row>
    <row r="2868" ht="15.75">
      <c r="N2868" s="672"/>
    </row>
    <row r="2869" ht="15.75">
      <c r="N2869" s="672"/>
    </row>
    <row r="2870" ht="15.75">
      <c r="N2870" s="672"/>
    </row>
    <row r="2871" ht="15.75">
      <c r="N2871" s="672"/>
    </row>
    <row r="2872" ht="15.75">
      <c r="N2872" s="672"/>
    </row>
    <row r="2873" ht="15.75">
      <c r="N2873" s="672"/>
    </row>
    <row r="2874" ht="15.75">
      <c r="N2874" s="672"/>
    </row>
    <row r="2875" ht="15.75">
      <c r="N2875" s="672"/>
    </row>
    <row r="2876" ht="15.75">
      <c r="N2876" s="672"/>
    </row>
    <row r="2877" ht="15.75">
      <c r="N2877" s="672"/>
    </row>
    <row r="2878" ht="15.75">
      <c r="N2878" s="672"/>
    </row>
    <row r="2879" ht="15.75">
      <c r="N2879" s="672"/>
    </row>
    <row r="2880" ht="15.75">
      <c r="N2880" s="672"/>
    </row>
    <row r="2881" ht="15.75">
      <c r="N2881" s="672"/>
    </row>
    <row r="2882" ht="15.75">
      <c r="N2882" s="672"/>
    </row>
    <row r="2883" ht="15.75">
      <c r="N2883" s="672"/>
    </row>
    <row r="2884" ht="15.75">
      <c r="N2884" s="672"/>
    </row>
    <row r="2885" ht="15.75">
      <c r="N2885" s="672"/>
    </row>
    <row r="2886" ht="15.75">
      <c r="N2886" s="672"/>
    </row>
    <row r="2887" ht="15.75">
      <c r="N2887" s="672"/>
    </row>
    <row r="2888" ht="15.75">
      <c r="N2888" s="672"/>
    </row>
    <row r="2889" ht="15.75">
      <c r="N2889" s="672"/>
    </row>
    <row r="2890" ht="15.75">
      <c r="N2890" s="672"/>
    </row>
    <row r="2891" ht="15.75">
      <c r="N2891" s="672"/>
    </row>
    <row r="2892" ht="15.75">
      <c r="N2892" s="672"/>
    </row>
    <row r="2893" ht="15.75">
      <c r="N2893" s="672"/>
    </row>
    <row r="2894" ht="15.75">
      <c r="N2894" s="672"/>
    </row>
    <row r="2895" ht="15.75">
      <c r="N2895" s="672"/>
    </row>
    <row r="2896" ht="15.75">
      <c r="N2896" s="672"/>
    </row>
    <row r="2897" ht="15.75">
      <c r="N2897" s="672"/>
    </row>
    <row r="2898" ht="15.75">
      <c r="N2898" s="672"/>
    </row>
    <row r="2899" ht="15.75">
      <c r="N2899" s="672"/>
    </row>
    <row r="2900" ht="15.75">
      <c r="N2900" s="672"/>
    </row>
    <row r="2901" ht="15.75">
      <c r="N2901" s="672"/>
    </row>
    <row r="2902" ht="15.75">
      <c r="N2902" s="672"/>
    </row>
    <row r="2903" ht="15.75">
      <c r="N2903" s="672"/>
    </row>
    <row r="2904" ht="15.75">
      <c r="N2904" s="672"/>
    </row>
    <row r="2905" ht="15.75">
      <c r="N2905" s="672"/>
    </row>
    <row r="2906" ht="15.75">
      <c r="N2906" s="672"/>
    </row>
    <row r="2907" ht="15.75">
      <c r="N2907" s="672"/>
    </row>
    <row r="2908" ht="15.75">
      <c r="N2908" s="672"/>
    </row>
    <row r="2909" ht="15.75">
      <c r="N2909" s="672"/>
    </row>
    <row r="2910" ht="15.75">
      <c r="N2910" s="672"/>
    </row>
    <row r="2911" ht="15.75">
      <c r="N2911" s="672"/>
    </row>
    <row r="2912" ht="15.75">
      <c r="N2912" s="672"/>
    </row>
    <row r="2913" ht="15.75">
      <c r="N2913" s="672"/>
    </row>
    <row r="2914" ht="15.75">
      <c r="N2914" s="672"/>
    </row>
    <row r="2915" ht="15.75">
      <c r="N2915" s="672"/>
    </row>
    <row r="2916" ht="15.75">
      <c r="N2916" s="672"/>
    </row>
    <row r="2917" ht="15.75">
      <c r="N2917" s="672"/>
    </row>
    <row r="2918" ht="15.75">
      <c r="N2918" s="672"/>
    </row>
    <row r="2919" ht="15.75">
      <c r="N2919" s="672"/>
    </row>
    <row r="2920" ht="15.75">
      <c r="N2920" s="672"/>
    </row>
    <row r="2921" ht="15.75">
      <c r="N2921" s="672"/>
    </row>
    <row r="2922" ht="15.75">
      <c r="N2922" s="672"/>
    </row>
    <row r="2923" ht="15.75">
      <c r="N2923" s="672"/>
    </row>
    <row r="2924" ht="15.75">
      <c r="N2924" s="672"/>
    </row>
    <row r="2925" ht="15.75">
      <c r="N2925" s="672"/>
    </row>
    <row r="2926" ht="15.75">
      <c r="N2926" s="672"/>
    </row>
    <row r="2927" ht="15.75">
      <c r="N2927" s="672"/>
    </row>
    <row r="2928" ht="15.75">
      <c r="N2928" s="672"/>
    </row>
    <row r="2929" ht="15.75">
      <c r="N2929" s="672"/>
    </row>
    <row r="2930" ht="15.75">
      <c r="N2930" s="672"/>
    </row>
    <row r="2931" ht="15.75">
      <c r="N2931" s="672"/>
    </row>
    <row r="2932" ht="15.75">
      <c r="N2932" s="672"/>
    </row>
    <row r="2933" ht="15.75">
      <c r="N2933" s="672"/>
    </row>
    <row r="2934" ht="15.75">
      <c r="N2934" s="672"/>
    </row>
    <row r="2935" ht="15.75">
      <c r="N2935" s="672"/>
    </row>
    <row r="2936" ht="15.75">
      <c r="N2936" s="672"/>
    </row>
    <row r="2937" ht="15.75">
      <c r="N2937" s="672"/>
    </row>
    <row r="2938" ht="15.75">
      <c r="N2938" s="672"/>
    </row>
    <row r="2939" ht="15.75">
      <c r="N2939" s="672"/>
    </row>
    <row r="2940" ht="15.75">
      <c r="N2940" s="672"/>
    </row>
    <row r="2941" ht="15.75">
      <c r="N2941" s="672"/>
    </row>
    <row r="2942" ht="15.75">
      <c r="N2942" s="672"/>
    </row>
    <row r="2943" ht="15.75">
      <c r="N2943" s="672"/>
    </row>
    <row r="2944" ht="15.75">
      <c r="N2944" s="672"/>
    </row>
    <row r="2945" ht="15.75">
      <c r="N2945" s="672"/>
    </row>
    <row r="2946" ht="15.75">
      <c r="N2946" s="672"/>
    </row>
    <row r="2947" ht="15.75">
      <c r="N2947" s="672"/>
    </row>
    <row r="2948" ht="15.75">
      <c r="N2948" s="672"/>
    </row>
    <row r="2949" ht="15.75">
      <c r="N2949" s="672"/>
    </row>
    <row r="2950" ht="15.75">
      <c r="N2950" s="672"/>
    </row>
    <row r="2951" ht="15.75">
      <c r="N2951" s="672"/>
    </row>
    <row r="2952" ht="15.75">
      <c r="N2952" s="672"/>
    </row>
    <row r="2953" ht="15.75">
      <c r="N2953" s="672"/>
    </row>
    <row r="2954" ht="15.75">
      <c r="N2954" s="672"/>
    </row>
    <row r="2955" ht="15.75">
      <c r="N2955" s="672"/>
    </row>
    <row r="2956" ht="15.75">
      <c r="N2956" s="672"/>
    </row>
    <row r="2957" ht="15.75">
      <c r="N2957" s="672"/>
    </row>
    <row r="2958" ht="15.75">
      <c r="N2958" s="672"/>
    </row>
    <row r="2959" ht="15.75">
      <c r="N2959" s="672"/>
    </row>
    <row r="2960" ht="15.75">
      <c r="N2960" s="672"/>
    </row>
    <row r="2961" ht="15.75">
      <c r="N2961" s="672"/>
    </row>
    <row r="2962" ht="15.75">
      <c r="N2962" s="672"/>
    </row>
    <row r="2963" ht="15.75">
      <c r="N2963" s="672"/>
    </row>
    <row r="2964" ht="15.75">
      <c r="N2964" s="672"/>
    </row>
    <row r="2965" ht="15.75">
      <c r="N2965" s="672"/>
    </row>
    <row r="2966" ht="15.75">
      <c r="N2966" s="672"/>
    </row>
    <row r="2967" ht="15.75">
      <c r="N2967" s="672"/>
    </row>
    <row r="2968" ht="15.75">
      <c r="N2968" s="672"/>
    </row>
    <row r="2969" ht="15.75">
      <c r="N2969" s="672"/>
    </row>
    <row r="2970" ht="15.75">
      <c r="N2970" s="672"/>
    </row>
    <row r="2971" ht="15.75">
      <c r="N2971" s="672"/>
    </row>
    <row r="2972" ht="15.75">
      <c r="N2972" s="672"/>
    </row>
    <row r="2973" ht="15.75">
      <c r="N2973" s="672"/>
    </row>
    <row r="2974" ht="15.75">
      <c r="N2974" s="672"/>
    </row>
    <row r="2975" ht="15.75">
      <c r="N2975" s="672"/>
    </row>
    <row r="2976" ht="15.75">
      <c r="N2976" s="672"/>
    </row>
    <row r="2977" ht="15.75">
      <c r="N2977" s="672"/>
    </row>
    <row r="2978" ht="15.75">
      <c r="N2978" s="672"/>
    </row>
    <row r="2979" ht="15.75">
      <c r="N2979" s="672"/>
    </row>
    <row r="2980" ht="15.75">
      <c r="N2980" s="672"/>
    </row>
    <row r="2981" ht="15.75">
      <c r="N2981" s="672"/>
    </row>
    <row r="2982" ht="15.75">
      <c r="N2982" s="672"/>
    </row>
    <row r="2983" ht="15.75">
      <c r="N2983" s="672"/>
    </row>
    <row r="2984" ht="15.75">
      <c r="N2984" s="672"/>
    </row>
    <row r="2985" ht="15.75">
      <c r="N2985" s="672"/>
    </row>
    <row r="2986" ht="15.75">
      <c r="N2986" s="672"/>
    </row>
    <row r="2987" ht="15.75">
      <c r="N2987" s="672"/>
    </row>
    <row r="2988" ht="15.75">
      <c r="N2988" s="672"/>
    </row>
    <row r="2989" ht="15.75">
      <c r="N2989" s="672"/>
    </row>
    <row r="2990" ht="15.75">
      <c r="N2990" s="672"/>
    </row>
    <row r="2991" ht="15.75">
      <c r="N2991" s="672"/>
    </row>
    <row r="2992" ht="15.75">
      <c r="N2992" s="672"/>
    </row>
    <row r="2993" ht="15.75">
      <c r="N2993" s="672"/>
    </row>
    <row r="2994" ht="15.75">
      <c r="N2994" s="672"/>
    </row>
    <row r="2995" ht="15.75">
      <c r="N2995" s="672"/>
    </row>
    <row r="2996" ht="15.75">
      <c r="N2996" s="672"/>
    </row>
    <row r="2997" ht="15.75">
      <c r="N2997" s="672"/>
    </row>
    <row r="2998" ht="15.75">
      <c r="N2998" s="672"/>
    </row>
    <row r="2999" ht="15.75">
      <c r="N2999" s="672"/>
    </row>
    <row r="3000" ht="15.75">
      <c r="N3000" s="672"/>
    </row>
    <row r="3001" ht="15.75">
      <c r="N3001" s="672"/>
    </row>
    <row r="3002" ht="15.75">
      <c r="N3002" s="672"/>
    </row>
    <row r="3003" ht="15.75">
      <c r="N3003" s="672"/>
    </row>
    <row r="3004" ht="15.75">
      <c r="N3004" s="672"/>
    </row>
    <row r="3005" ht="15.75">
      <c r="N3005" s="672"/>
    </row>
    <row r="3006" ht="15.75">
      <c r="N3006" s="672"/>
    </row>
    <row r="3007" ht="15.75">
      <c r="N3007" s="672"/>
    </row>
    <row r="3008" ht="15.75">
      <c r="N3008" s="672"/>
    </row>
    <row r="3009" ht="15.75">
      <c r="N3009" s="672"/>
    </row>
    <row r="3010" ht="15.75">
      <c r="N3010" s="672"/>
    </row>
    <row r="3011" ht="15.75">
      <c r="N3011" s="672"/>
    </row>
    <row r="3012" ht="15.75">
      <c r="N3012" s="672"/>
    </row>
    <row r="3013" ht="15.75">
      <c r="N3013" s="672"/>
    </row>
    <row r="3014" ht="15.75">
      <c r="N3014" s="672"/>
    </row>
    <row r="3015" ht="15.75">
      <c r="N3015" s="672"/>
    </row>
    <row r="3016" ht="15.75">
      <c r="N3016" s="672"/>
    </row>
    <row r="3017" ht="15.75">
      <c r="N3017" s="672"/>
    </row>
    <row r="3018" ht="15.75">
      <c r="N3018" s="672"/>
    </row>
    <row r="3019" ht="15.75">
      <c r="N3019" s="672"/>
    </row>
    <row r="3020" ht="15.75">
      <c r="N3020" s="672"/>
    </row>
    <row r="3021" ht="15.75">
      <c r="N3021" s="672"/>
    </row>
    <row r="3022" ht="15.75">
      <c r="N3022" s="672"/>
    </row>
    <row r="3023" ht="15.75">
      <c r="N3023" s="672"/>
    </row>
    <row r="3024" ht="15.75">
      <c r="N3024" s="672"/>
    </row>
    <row r="3025" ht="15.75">
      <c r="N3025" s="672"/>
    </row>
    <row r="3026" ht="15.75">
      <c r="N3026" s="672"/>
    </row>
    <row r="3027" ht="15.75">
      <c r="N3027" s="672"/>
    </row>
    <row r="3028" ht="15.75">
      <c r="N3028" s="672"/>
    </row>
    <row r="3029" ht="15.75">
      <c r="N3029" s="672"/>
    </row>
    <row r="3030" ht="15.75">
      <c r="N3030" s="672"/>
    </row>
    <row r="3031" ht="15.75">
      <c r="N3031" s="672"/>
    </row>
    <row r="3032" ht="15.75">
      <c r="N3032" s="672"/>
    </row>
    <row r="3033" ht="15.75">
      <c r="N3033" s="672"/>
    </row>
    <row r="3034" ht="15.75">
      <c r="N3034" s="672"/>
    </row>
    <row r="3035" ht="15.75">
      <c r="N3035" s="672"/>
    </row>
    <row r="3036" ht="15.75">
      <c r="N3036" s="672"/>
    </row>
    <row r="3037" ht="15.75">
      <c r="N3037" s="672"/>
    </row>
    <row r="3038" ht="15.75">
      <c r="N3038" s="672"/>
    </row>
    <row r="3039" ht="15.75">
      <c r="N3039" s="672"/>
    </row>
    <row r="3040" ht="15.75">
      <c r="N3040" s="672"/>
    </row>
    <row r="3041" ht="15.75">
      <c r="N3041" s="672"/>
    </row>
    <row r="3042" ht="15.75">
      <c r="N3042" s="672"/>
    </row>
    <row r="3043" ht="15.75">
      <c r="N3043" s="672"/>
    </row>
    <row r="3044" ht="15.75">
      <c r="N3044" s="672"/>
    </row>
    <row r="3045" ht="15.75">
      <c r="N3045" s="672"/>
    </row>
    <row r="3046" ht="15.75">
      <c r="N3046" s="672"/>
    </row>
    <row r="3047" ht="15.75">
      <c r="N3047" s="672"/>
    </row>
    <row r="3048" ht="15.75">
      <c r="N3048" s="672"/>
    </row>
    <row r="3049" ht="15.75">
      <c r="N3049" s="672"/>
    </row>
    <row r="3050" ht="15.75">
      <c r="N3050" s="672"/>
    </row>
    <row r="3051" ht="15.75">
      <c r="N3051" s="672"/>
    </row>
    <row r="3052" ht="15.75">
      <c r="N3052" s="672"/>
    </row>
    <row r="3053" ht="15.75">
      <c r="N3053" s="672"/>
    </row>
    <row r="3054" ht="15.75">
      <c r="N3054" s="672"/>
    </row>
    <row r="3055" ht="15.75">
      <c r="N3055" s="672"/>
    </row>
    <row r="3056" ht="15.75">
      <c r="N3056" s="672"/>
    </row>
    <row r="3057" ht="15.75">
      <c r="N3057" s="672"/>
    </row>
    <row r="3058" ht="15.75">
      <c r="N3058" s="672"/>
    </row>
    <row r="3059" ht="15.75">
      <c r="N3059" s="672"/>
    </row>
    <row r="3060" ht="15.75">
      <c r="N3060" s="672"/>
    </row>
    <row r="3061" ht="15.75">
      <c r="N3061" s="672"/>
    </row>
    <row r="3062" ht="15.75">
      <c r="N3062" s="672"/>
    </row>
    <row r="3063" ht="15.75">
      <c r="N3063" s="672"/>
    </row>
    <row r="3064" ht="15.75">
      <c r="N3064" s="672"/>
    </row>
    <row r="3065" ht="15.75">
      <c r="N3065" s="672"/>
    </row>
    <row r="3066" ht="15.75">
      <c r="N3066" s="672"/>
    </row>
    <row r="3067" ht="15.75">
      <c r="N3067" s="672"/>
    </row>
    <row r="3068" ht="15.75">
      <c r="N3068" s="672"/>
    </row>
    <row r="3069" ht="15.75">
      <c r="N3069" s="672"/>
    </row>
    <row r="3070" ht="15.75">
      <c r="N3070" s="672"/>
    </row>
    <row r="3071" ht="15.75">
      <c r="N3071" s="672"/>
    </row>
    <row r="3072" ht="15.75">
      <c r="N3072" s="672"/>
    </row>
    <row r="3073" ht="15.75">
      <c r="N3073" s="672"/>
    </row>
    <row r="3074" ht="15.75">
      <c r="N3074" s="672"/>
    </row>
    <row r="3075" ht="15.75">
      <c r="N3075" s="672"/>
    </row>
    <row r="3076" ht="15.75">
      <c r="N3076" s="672"/>
    </row>
    <row r="3077" ht="15.75">
      <c r="N3077" s="672"/>
    </row>
    <row r="3078" ht="15.75">
      <c r="N3078" s="672"/>
    </row>
    <row r="3079" ht="15.75">
      <c r="N3079" s="672"/>
    </row>
    <row r="3080" ht="15.75">
      <c r="N3080" s="672"/>
    </row>
    <row r="3081" ht="15.75">
      <c r="N3081" s="672"/>
    </row>
    <row r="3082" ht="15.75">
      <c r="N3082" s="672"/>
    </row>
    <row r="3083" ht="15.75">
      <c r="N3083" s="672"/>
    </row>
    <row r="3084" ht="15.75">
      <c r="N3084" s="672"/>
    </row>
    <row r="3085" ht="15.75">
      <c r="N3085" s="672"/>
    </row>
    <row r="3086" ht="15.75">
      <c r="N3086" s="672"/>
    </row>
    <row r="3087" ht="15.75">
      <c r="N3087" s="672"/>
    </row>
    <row r="3088" ht="15.75">
      <c r="N3088" s="672"/>
    </row>
    <row r="3089" ht="15.75">
      <c r="N3089" s="672"/>
    </row>
    <row r="3090" ht="15.75">
      <c r="N3090" s="672"/>
    </row>
    <row r="3091" ht="15.75">
      <c r="N3091" s="672"/>
    </row>
    <row r="3092" ht="15.75">
      <c r="N3092" s="672"/>
    </row>
    <row r="3093" ht="15.75">
      <c r="N3093" s="672"/>
    </row>
    <row r="3094" ht="15.75">
      <c r="N3094" s="672"/>
    </row>
    <row r="3095" ht="15.75">
      <c r="N3095" s="672"/>
    </row>
    <row r="3096" ht="15.75">
      <c r="N3096" s="672"/>
    </row>
    <row r="3097" ht="15.75">
      <c r="N3097" s="672"/>
    </row>
    <row r="3098" ht="15.75">
      <c r="N3098" s="672"/>
    </row>
    <row r="3099" ht="15.75">
      <c r="N3099" s="672"/>
    </row>
    <row r="3100" ht="15.75">
      <c r="N3100" s="672"/>
    </row>
    <row r="3101" ht="15.75">
      <c r="N3101" s="672"/>
    </row>
    <row r="3102" ht="15.75">
      <c r="N3102" s="672"/>
    </row>
    <row r="3103" ht="15.75">
      <c r="N3103" s="672"/>
    </row>
    <row r="3104" ht="15.75">
      <c r="N3104" s="672"/>
    </row>
    <row r="3105" ht="15.75">
      <c r="N3105" s="672"/>
    </row>
    <row r="3106" ht="15.75">
      <c r="N3106" s="672"/>
    </row>
    <row r="3107" ht="15.75">
      <c r="N3107" s="672"/>
    </row>
    <row r="3108" ht="15.75">
      <c r="N3108" s="672"/>
    </row>
    <row r="3109" ht="15.75">
      <c r="N3109" s="672"/>
    </row>
    <row r="3110" ht="15.75">
      <c r="N3110" s="672"/>
    </row>
    <row r="3111" ht="15.75">
      <c r="N3111" s="672"/>
    </row>
    <row r="3112" ht="15.75">
      <c r="N3112" s="672"/>
    </row>
    <row r="3113" ht="15.75">
      <c r="N3113" s="672"/>
    </row>
    <row r="3114" ht="15.75">
      <c r="N3114" s="672"/>
    </row>
    <row r="3115" ht="15.75">
      <c r="N3115" s="672"/>
    </row>
    <row r="3116" ht="15.75">
      <c r="N3116" s="672"/>
    </row>
    <row r="3117" ht="15.75">
      <c r="N3117" s="672"/>
    </row>
    <row r="3118" ht="15.75">
      <c r="N3118" s="672"/>
    </row>
    <row r="3119" ht="15.75">
      <c r="N3119" s="672"/>
    </row>
    <row r="3120" ht="15.75">
      <c r="N3120" s="672"/>
    </row>
    <row r="3121" ht="15.75">
      <c r="N3121" s="672"/>
    </row>
    <row r="3122" ht="15.75">
      <c r="N3122" s="672"/>
    </row>
    <row r="3123" ht="15.75">
      <c r="N3123" s="672"/>
    </row>
    <row r="3124" ht="15.75">
      <c r="N3124" s="672"/>
    </row>
    <row r="3125" ht="15.75">
      <c r="N3125" s="672"/>
    </row>
    <row r="3126" ht="15.75">
      <c r="N3126" s="672"/>
    </row>
    <row r="3127" ht="15.75">
      <c r="N3127" s="672"/>
    </row>
    <row r="3128" ht="15.75">
      <c r="N3128" s="672"/>
    </row>
    <row r="3129" ht="15.75">
      <c r="N3129" s="672"/>
    </row>
    <row r="3130" ht="15.75">
      <c r="N3130" s="672"/>
    </row>
    <row r="3131" ht="15.75">
      <c r="N3131" s="672"/>
    </row>
    <row r="3132" ht="15.75">
      <c r="N3132" s="672"/>
    </row>
    <row r="3133" ht="15.75">
      <c r="N3133" s="672"/>
    </row>
    <row r="3134" ht="15.75">
      <c r="N3134" s="672"/>
    </row>
    <row r="3135" ht="15.75">
      <c r="N3135" s="672"/>
    </row>
    <row r="3136" ht="15.75">
      <c r="N3136" s="672"/>
    </row>
    <row r="3137" ht="15.75">
      <c r="N3137" s="672"/>
    </row>
    <row r="3138" ht="15.75">
      <c r="N3138" s="672"/>
    </row>
    <row r="3139" ht="15.75">
      <c r="N3139" s="672"/>
    </row>
    <row r="3140" ht="15.75">
      <c r="N3140" s="672"/>
    </row>
    <row r="3141" ht="15.75">
      <c r="N3141" s="672"/>
    </row>
    <row r="3142" ht="15.75">
      <c r="N3142" s="672"/>
    </row>
    <row r="3143" ht="15.75">
      <c r="N3143" s="672"/>
    </row>
    <row r="3144" ht="15.75">
      <c r="N3144" s="672"/>
    </row>
    <row r="3145" ht="15.75">
      <c r="N3145" s="672"/>
    </row>
    <row r="3146" ht="15.75">
      <c r="N3146" s="672"/>
    </row>
    <row r="3147" ht="15.75">
      <c r="N3147" s="672"/>
    </row>
    <row r="3148" ht="15.75">
      <c r="N3148" s="672"/>
    </row>
    <row r="3149" ht="15.75">
      <c r="N3149" s="672"/>
    </row>
    <row r="3150" ht="15.75">
      <c r="N3150" s="672"/>
    </row>
    <row r="3151" ht="15.75">
      <c r="N3151" s="672"/>
    </row>
    <row r="3152" ht="15.75">
      <c r="N3152" s="672"/>
    </row>
    <row r="3153" ht="15.75">
      <c r="N3153" s="672"/>
    </row>
    <row r="3154" ht="15.75">
      <c r="N3154" s="672"/>
    </row>
    <row r="3155" ht="15.75">
      <c r="N3155" s="672"/>
    </row>
    <row r="3156" ht="15.75">
      <c r="N3156" s="672"/>
    </row>
    <row r="3157" ht="15.75">
      <c r="N3157" s="672"/>
    </row>
    <row r="3158" ht="15.75">
      <c r="N3158" s="672"/>
    </row>
    <row r="3159" ht="15.75">
      <c r="N3159" s="672"/>
    </row>
    <row r="3160" ht="15.75">
      <c r="N3160" s="672"/>
    </row>
    <row r="3161" ht="15.75">
      <c r="N3161" s="672"/>
    </row>
    <row r="3162" ht="15.75">
      <c r="N3162" s="672"/>
    </row>
    <row r="3163" ht="15.75">
      <c r="N3163" s="672"/>
    </row>
    <row r="3164" ht="15.75">
      <c r="N3164" s="672"/>
    </row>
    <row r="3165" ht="15.75">
      <c r="N3165" s="672"/>
    </row>
    <row r="3166" ht="15.75">
      <c r="N3166" s="672"/>
    </row>
    <row r="3167" ht="15.75">
      <c r="N3167" s="672"/>
    </row>
    <row r="3168" ht="15.75">
      <c r="N3168" s="672"/>
    </row>
    <row r="3169" ht="15.75">
      <c r="N3169" s="672"/>
    </row>
    <row r="3170" ht="15.75">
      <c r="N3170" s="672"/>
    </row>
    <row r="3171" ht="15.75">
      <c r="N3171" s="672"/>
    </row>
    <row r="3172" ht="15.75">
      <c r="N3172" s="672"/>
    </row>
    <row r="3173" ht="15.75">
      <c r="N3173" s="672"/>
    </row>
    <row r="3174" ht="15.75">
      <c r="N3174" s="672"/>
    </row>
    <row r="3175" ht="15.75">
      <c r="N3175" s="672"/>
    </row>
    <row r="3176" ht="15.75">
      <c r="N3176" s="672"/>
    </row>
    <row r="3177" ht="15.75">
      <c r="N3177" s="672"/>
    </row>
    <row r="3178" ht="15.75">
      <c r="N3178" s="672"/>
    </row>
    <row r="3179" ht="15.75">
      <c r="N3179" s="672"/>
    </row>
    <row r="3180" ht="15.75">
      <c r="N3180" s="672"/>
    </row>
    <row r="3181" ht="15.75">
      <c r="N3181" s="672"/>
    </row>
    <row r="3182" ht="15.75">
      <c r="N3182" s="672"/>
    </row>
    <row r="3183" ht="15.75">
      <c r="N3183" s="672"/>
    </row>
    <row r="3184" ht="15.75">
      <c r="N3184" s="672"/>
    </row>
    <row r="3185" ht="15.75">
      <c r="N3185" s="672"/>
    </row>
    <row r="3186" ht="15.75">
      <c r="N3186" s="672"/>
    </row>
    <row r="3187" ht="15.75">
      <c r="N3187" s="672"/>
    </row>
    <row r="3188" ht="15.75">
      <c r="N3188" s="672"/>
    </row>
    <row r="3189" ht="15.75">
      <c r="N3189" s="672"/>
    </row>
    <row r="3190" ht="15.75">
      <c r="N3190" s="672"/>
    </row>
    <row r="3191" ht="15.75">
      <c r="N3191" s="672"/>
    </row>
    <row r="3192" ht="15.75">
      <c r="N3192" s="672"/>
    </row>
    <row r="3193" ht="15.75">
      <c r="N3193" s="672"/>
    </row>
    <row r="3194" ht="15.75">
      <c r="N3194" s="672"/>
    </row>
    <row r="3195" ht="15.75">
      <c r="N3195" s="672"/>
    </row>
    <row r="3196" ht="15.75">
      <c r="N3196" s="672"/>
    </row>
    <row r="3197" ht="15.75">
      <c r="N3197" s="672"/>
    </row>
    <row r="3198" ht="15.75">
      <c r="N3198" s="672"/>
    </row>
    <row r="3199" ht="15.75">
      <c r="N3199" s="672"/>
    </row>
    <row r="3200" ht="15.75">
      <c r="N3200" s="672"/>
    </row>
    <row r="3201" ht="15.75">
      <c r="N3201" s="672"/>
    </row>
    <row r="3202" ht="15.75">
      <c r="N3202" s="672"/>
    </row>
    <row r="3203" ht="15.75">
      <c r="N3203" s="672"/>
    </row>
    <row r="3204" ht="15.75">
      <c r="N3204" s="672"/>
    </row>
    <row r="3205" ht="15.75">
      <c r="N3205" s="672"/>
    </row>
    <row r="3206" ht="15.75">
      <c r="N3206" s="672"/>
    </row>
    <row r="3207" ht="15.75">
      <c r="N3207" s="672"/>
    </row>
    <row r="3208" ht="15.75">
      <c r="N3208" s="672"/>
    </row>
    <row r="3209" ht="15.75">
      <c r="N3209" s="672"/>
    </row>
    <row r="3210" ht="15.75">
      <c r="N3210" s="672"/>
    </row>
    <row r="3211" ht="15.75">
      <c r="N3211" s="672"/>
    </row>
    <row r="3212" ht="15.75">
      <c r="N3212" s="672"/>
    </row>
    <row r="3213" ht="15.75">
      <c r="N3213" s="672"/>
    </row>
    <row r="3214" ht="15.75">
      <c r="N3214" s="672"/>
    </row>
    <row r="3215" ht="15.75">
      <c r="N3215" s="672"/>
    </row>
    <row r="3216" ht="15.75">
      <c r="N3216" s="672"/>
    </row>
    <row r="3217" ht="15.75">
      <c r="N3217" s="672"/>
    </row>
    <row r="3218" ht="15.75">
      <c r="N3218" s="672"/>
    </row>
    <row r="3219" ht="15.75">
      <c r="N3219" s="672"/>
    </row>
    <row r="3220" ht="15.75">
      <c r="N3220" s="672"/>
    </row>
    <row r="3221" ht="15.75">
      <c r="N3221" s="672"/>
    </row>
    <row r="3222" ht="15.75">
      <c r="N3222" s="672"/>
    </row>
    <row r="3223" ht="15.75">
      <c r="N3223" s="672"/>
    </row>
    <row r="3224" ht="15.75">
      <c r="N3224" s="672"/>
    </row>
    <row r="3225" ht="15.75">
      <c r="N3225" s="672"/>
    </row>
    <row r="3226" ht="15.75">
      <c r="N3226" s="672"/>
    </row>
    <row r="3227" ht="15.75">
      <c r="N3227" s="672"/>
    </row>
    <row r="3228" ht="15.75">
      <c r="N3228" s="672"/>
    </row>
    <row r="3229" ht="15.75">
      <c r="N3229" s="672"/>
    </row>
    <row r="3230" ht="15.75">
      <c r="N3230" s="672"/>
    </row>
    <row r="3231" ht="15.75">
      <c r="N3231" s="672"/>
    </row>
    <row r="3232" ht="15.75">
      <c r="N3232" s="672"/>
    </row>
    <row r="3233" ht="15.75">
      <c r="N3233" s="672"/>
    </row>
    <row r="3234" ht="15.75">
      <c r="N3234" s="672"/>
    </row>
    <row r="3235" ht="15.75">
      <c r="N3235" s="672"/>
    </row>
    <row r="3236" ht="15.75">
      <c r="N3236" s="672"/>
    </row>
    <row r="3237" ht="15.75">
      <c r="N3237" s="672"/>
    </row>
    <row r="3238" ht="15.75">
      <c r="N3238" s="672"/>
    </row>
    <row r="3239" ht="15.75">
      <c r="N3239" s="672"/>
    </row>
    <row r="3240" ht="15.75">
      <c r="N3240" s="672"/>
    </row>
    <row r="3241" ht="15.75">
      <c r="N3241" s="672"/>
    </row>
    <row r="3242" ht="15.75">
      <c r="N3242" s="672"/>
    </row>
    <row r="3243" ht="15.75">
      <c r="N3243" s="672"/>
    </row>
    <row r="3244" ht="15.75">
      <c r="N3244" s="672"/>
    </row>
    <row r="3245" ht="15.75">
      <c r="N3245" s="672"/>
    </row>
    <row r="3246" ht="15.75">
      <c r="N3246" s="672"/>
    </row>
    <row r="3247" ht="15.75">
      <c r="N3247" s="672"/>
    </row>
    <row r="3248" ht="15.75">
      <c r="N3248" s="672"/>
    </row>
    <row r="3249" ht="15.75">
      <c r="N3249" s="672"/>
    </row>
    <row r="3250" ht="15.75">
      <c r="N3250" s="672"/>
    </row>
    <row r="3251" ht="15.75">
      <c r="N3251" s="672"/>
    </row>
    <row r="3252" ht="15.75">
      <c r="N3252" s="672"/>
    </row>
    <row r="3253" ht="15.75">
      <c r="N3253" s="672"/>
    </row>
    <row r="3254" ht="15.75">
      <c r="N3254" s="672"/>
    </row>
    <row r="3255" ht="15.75">
      <c r="N3255" s="672"/>
    </row>
    <row r="3256" ht="15.75">
      <c r="N3256" s="672"/>
    </row>
    <row r="3257" ht="15.75">
      <c r="N3257" s="672"/>
    </row>
    <row r="3258" ht="15.75">
      <c r="N3258" s="672"/>
    </row>
    <row r="3259" ht="15.75">
      <c r="N3259" s="672"/>
    </row>
    <row r="3260" ht="15.75">
      <c r="N3260" s="672"/>
    </row>
    <row r="3261" ht="15.75">
      <c r="N3261" s="672"/>
    </row>
    <row r="3262" ht="15.75">
      <c r="N3262" s="672"/>
    </row>
    <row r="3263" ht="15.75">
      <c r="N3263" s="672"/>
    </row>
    <row r="3264" ht="15.75">
      <c r="N3264" s="672"/>
    </row>
    <row r="3265" ht="15.75">
      <c r="N3265" s="672"/>
    </row>
    <row r="3266" ht="15.75">
      <c r="N3266" s="672"/>
    </row>
    <row r="3267" ht="15.75">
      <c r="N3267" s="672"/>
    </row>
    <row r="3268" ht="15.75">
      <c r="N3268" s="672"/>
    </row>
    <row r="3269" ht="15.75">
      <c r="N3269" s="672"/>
    </row>
    <row r="3270" ht="15.75">
      <c r="N3270" s="672"/>
    </row>
    <row r="3271" ht="15.75">
      <c r="N3271" s="672"/>
    </row>
    <row r="3272" ht="15.75">
      <c r="N3272" s="672"/>
    </row>
    <row r="3273" ht="15.75">
      <c r="N3273" s="672"/>
    </row>
    <row r="3274" ht="15.75">
      <c r="N3274" s="672"/>
    </row>
    <row r="3275" ht="15.75">
      <c r="N3275" s="672"/>
    </row>
    <row r="3276" ht="15.75">
      <c r="N3276" s="672"/>
    </row>
    <row r="3277" ht="15.75">
      <c r="N3277" s="672"/>
    </row>
    <row r="3278" ht="15.75">
      <c r="N3278" s="672"/>
    </row>
    <row r="3279" ht="15.75">
      <c r="N3279" s="672"/>
    </row>
    <row r="3280" ht="15.75">
      <c r="N3280" s="672"/>
    </row>
    <row r="3281" ht="15.75">
      <c r="N3281" s="672"/>
    </row>
    <row r="3282" ht="15.75">
      <c r="N3282" s="672"/>
    </row>
    <row r="3283" ht="15.75">
      <c r="N3283" s="672"/>
    </row>
    <row r="3284" ht="15.75">
      <c r="N3284" s="672"/>
    </row>
    <row r="3285" ht="15.75">
      <c r="N3285" s="672"/>
    </row>
    <row r="3286" ht="15.75">
      <c r="N3286" s="672"/>
    </row>
    <row r="3287" ht="15.75">
      <c r="N3287" s="672"/>
    </row>
    <row r="3288" ht="15.75">
      <c r="N3288" s="672"/>
    </row>
    <row r="3289" ht="15.75">
      <c r="N3289" s="672"/>
    </row>
    <row r="3290" ht="15.75">
      <c r="N3290" s="672"/>
    </row>
    <row r="3291" ht="15.75">
      <c r="N3291" s="672"/>
    </row>
    <row r="3292" ht="15.75">
      <c r="N3292" s="672"/>
    </row>
    <row r="3293" ht="15.75">
      <c r="N3293" s="672"/>
    </row>
    <row r="3294" ht="15.75">
      <c r="N3294" s="672"/>
    </row>
    <row r="3295" ht="15.75">
      <c r="N3295" s="672"/>
    </row>
    <row r="3296" ht="15.75">
      <c r="N3296" s="672"/>
    </row>
    <row r="3297" ht="15.75">
      <c r="N3297" s="672"/>
    </row>
    <row r="3298" ht="15.75">
      <c r="N3298" s="672"/>
    </row>
    <row r="3299" ht="15.75">
      <c r="N3299" s="672"/>
    </row>
    <row r="3300" ht="15.75">
      <c r="N3300" s="672"/>
    </row>
    <row r="3301" ht="15.75">
      <c r="N3301" s="672"/>
    </row>
    <row r="3302" ht="15.75">
      <c r="N3302" s="672"/>
    </row>
    <row r="3303" ht="15.75">
      <c r="N3303" s="672"/>
    </row>
    <row r="3304" ht="15.75">
      <c r="N3304" s="672"/>
    </row>
    <row r="3305" ht="15.75">
      <c r="N3305" s="672"/>
    </row>
    <row r="3306" ht="15.75">
      <c r="N3306" s="672"/>
    </row>
    <row r="3307" ht="15.75">
      <c r="N3307" s="672"/>
    </row>
    <row r="3308" ht="15.75">
      <c r="N3308" s="672"/>
    </row>
    <row r="3309" ht="15.75">
      <c r="N3309" s="672"/>
    </row>
    <row r="3310" ht="15.75">
      <c r="N3310" s="672"/>
    </row>
    <row r="3311" ht="15.75">
      <c r="N3311" s="672"/>
    </row>
    <row r="3312" ht="15.75">
      <c r="N3312" s="672"/>
    </row>
    <row r="3313" ht="15.75">
      <c r="N3313" s="672"/>
    </row>
    <row r="3314" ht="15.75">
      <c r="N3314" s="672"/>
    </row>
    <row r="3315" ht="15.75">
      <c r="N3315" s="672"/>
    </row>
    <row r="3316" ht="15.75">
      <c r="N3316" s="672"/>
    </row>
    <row r="3317" ht="15.75">
      <c r="N3317" s="672"/>
    </row>
    <row r="3318" ht="15.75">
      <c r="N3318" s="672"/>
    </row>
    <row r="3319" ht="15.75">
      <c r="N3319" s="672"/>
    </row>
    <row r="3320" ht="15.75">
      <c r="N3320" s="672"/>
    </row>
    <row r="3321" ht="15.75">
      <c r="N3321" s="672"/>
    </row>
    <row r="3322" ht="15.75">
      <c r="N3322" s="672"/>
    </row>
    <row r="3323" ht="15.75">
      <c r="N3323" s="672"/>
    </row>
    <row r="3324" ht="15.75">
      <c r="N3324" s="672"/>
    </row>
    <row r="3325" ht="15.75">
      <c r="N3325" s="672"/>
    </row>
    <row r="3326" ht="15.75">
      <c r="N3326" s="672"/>
    </row>
    <row r="3327" ht="15.75">
      <c r="N3327" s="672"/>
    </row>
    <row r="3328" ht="15.75">
      <c r="N3328" s="672"/>
    </row>
    <row r="3329" ht="15.75">
      <c r="N3329" s="672"/>
    </row>
    <row r="3330" ht="15.75">
      <c r="N3330" s="672"/>
    </row>
    <row r="3331" ht="15.75">
      <c r="N3331" s="672"/>
    </row>
    <row r="3332" ht="15.75">
      <c r="N3332" s="672"/>
    </row>
    <row r="3333" ht="15.75">
      <c r="N3333" s="672"/>
    </row>
    <row r="3334" ht="15.75">
      <c r="N3334" s="672"/>
    </row>
    <row r="3335" ht="15.75">
      <c r="N3335" s="672"/>
    </row>
    <row r="3336" ht="15.75">
      <c r="N3336" s="672"/>
    </row>
    <row r="3337" ht="15.75">
      <c r="N3337" s="672"/>
    </row>
    <row r="3338" ht="15.75">
      <c r="N3338" s="672"/>
    </row>
    <row r="3339" ht="15.75">
      <c r="N3339" s="672"/>
    </row>
    <row r="3340" ht="15.75">
      <c r="N3340" s="672"/>
    </row>
    <row r="3341" ht="15.75">
      <c r="N3341" s="672"/>
    </row>
    <row r="3342" ht="15.75">
      <c r="N3342" s="672"/>
    </row>
    <row r="3343" ht="15.75">
      <c r="N3343" s="672"/>
    </row>
    <row r="3344" ht="15.75">
      <c r="N3344" s="672"/>
    </row>
    <row r="3345" ht="15.75">
      <c r="N3345" s="672"/>
    </row>
    <row r="3346" ht="15.75">
      <c r="N3346" s="672"/>
    </row>
    <row r="3347" ht="15.75">
      <c r="N3347" s="672"/>
    </row>
    <row r="3348" ht="15.75">
      <c r="N3348" s="672"/>
    </row>
    <row r="3349" ht="15.75">
      <c r="N3349" s="672"/>
    </row>
    <row r="3350" ht="15.75">
      <c r="N3350" s="672"/>
    </row>
    <row r="3351" ht="15.75">
      <c r="N3351" s="672"/>
    </row>
    <row r="3352" ht="15.75">
      <c r="N3352" s="672"/>
    </row>
    <row r="3353" ht="15.75">
      <c r="N3353" s="672"/>
    </row>
    <row r="3354" ht="15.75">
      <c r="N3354" s="672"/>
    </row>
    <row r="3355" ht="15.75">
      <c r="N3355" s="672"/>
    </row>
    <row r="3356" ht="15.75">
      <c r="N3356" s="672"/>
    </row>
    <row r="3357" ht="15.75">
      <c r="N3357" s="672"/>
    </row>
    <row r="3358" ht="15.75">
      <c r="N3358" s="672"/>
    </row>
    <row r="3359" ht="15.75">
      <c r="N3359" s="672"/>
    </row>
    <row r="3360" ht="15.75">
      <c r="N3360" s="672"/>
    </row>
    <row r="3361" ht="15.75">
      <c r="N3361" s="672"/>
    </row>
    <row r="3362" ht="15.75">
      <c r="N3362" s="672"/>
    </row>
    <row r="3363" ht="15.75">
      <c r="N3363" s="672"/>
    </row>
    <row r="3364" ht="15.75">
      <c r="N3364" s="672"/>
    </row>
    <row r="3365" ht="15.75">
      <c r="N3365" s="672"/>
    </row>
    <row r="3366" ht="15.75">
      <c r="N3366" s="672"/>
    </row>
    <row r="3367" ht="15.75">
      <c r="N3367" s="672"/>
    </row>
    <row r="3368" ht="15.75">
      <c r="N3368" s="672"/>
    </row>
    <row r="3369" ht="15.75">
      <c r="N3369" s="672"/>
    </row>
    <row r="3370" ht="15.75">
      <c r="N3370" s="672"/>
    </row>
    <row r="3371" ht="15.75">
      <c r="N3371" s="672"/>
    </row>
    <row r="3372" ht="15.75">
      <c r="N3372" s="672"/>
    </row>
    <row r="3373" ht="15.75">
      <c r="N3373" s="672"/>
    </row>
    <row r="3374" ht="15.75">
      <c r="N3374" s="672"/>
    </row>
    <row r="3375" ht="15.75">
      <c r="N3375" s="672"/>
    </row>
    <row r="3376" ht="15.75">
      <c r="N3376" s="672"/>
    </row>
    <row r="3377" ht="15.75">
      <c r="N3377" s="672"/>
    </row>
    <row r="3378" ht="15.75">
      <c r="N3378" s="672"/>
    </row>
    <row r="3379" ht="15.75">
      <c r="N3379" s="672"/>
    </row>
    <row r="3380" ht="15.75">
      <c r="N3380" s="672"/>
    </row>
    <row r="3381" ht="15.75">
      <c r="N3381" s="672"/>
    </row>
    <row r="3382" ht="15.75">
      <c r="N3382" s="672"/>
    </row>
    <row r="3383" ht="15.75">
      <c r="N3383" s="672"/>
    </row>
    <row r="3384" ht="15.75">
      <c r="N3384" s="672"/>
    </row>
    <row r="3385" ht="15.75">
      <c r="N3385" s="672"/>
    </row>
    <row r="3386" ht="15.75">
      <c r="N3386" s="672"/>
    </row>
    <row r="3387" ht="15.75">
      <c r="N3387" s="672"/>
    </row>
    <row r="3388" ht="15.75">
      <c r="N3388" s="672"/>
    </row>
    <row r="3389" ht="15.75">
      <c r="N3389" s="672"/>
    </row>
    <row r="3390" ht="15.75">
      <c r="N3390" s="672"/>
    </row>
    <row r="3391" ht="15.75">
      <c r="N3391" s="672"/>
    </row>
    <row r="3392" ht="15.75">
      <c r="N3392" s="672"/>
    </row>
    <row r="3393" ht="15.75">
      <c r="N3393" s="672"/>
    </row>
    <row r="3394" ht="15.75">
      <c r="N3394" s="672"/>
    </row>
    <row r="3395" ht="15.75">
      <c r="N3395" s="672"/>
    </row>
    <row r="3396" ht="15.75">
      <c r="N3396" s="672"/>
    </row>
    <row r="3397" ht="15.75">
      <c r="N3397" s="672"/>
    </row>
    <row r="3398" ht="15.75">
      <c r="N3398" s="672"/>
    </row>
    <row r="3399" ht="15.75">
      <c r="N3399" s="672"/>
    </row>
    <row r="3400" ht="15.75">
      <c r="N3400" s="672"/>
    </row>
    <row r="3401" ht="15.75">
      <c r="N3401" s="672"/>
    </row>
    <row r="3402" ht="15.75">
      <c r="N3402" s="672"/>
    </row>
    <row r="3403" ht="15.75">
      <c r="N3403" s="672"/>
    </row>
    <row r="3404" ht="15.75">
      <c r="N3404" s="672"/>
    </row>
    <row r="3405" ht="15.75">
      <c r="N3405" s="672"/>
    </row>
    <row r="3406" ht="15.75">
      <c r="N3406" s="672"/>
    </row>
    <row r="3407" ht="15.75">
      <c r="N3407" s="672"/>
    </row>
    <row r="3408" ht="15.75">
      <c r="N3408" s="672"/>
    </row>
    <row r="3409" ht="15.75">
      <c r="N3409" s="672"/>
    </row>
    <row r="3410" ht="15.75">
      <c r="N3410" s="672"/>
    </row>
    <row r="3411" ht="15.75">
      <c r="N3411" s="672"/>
    </row>
    <row r="3412" ht="15.75">
      <c r="N3412" s="672"/>
    </row>
    <row r="3413" ht="15.75">
      <c r="N3413" s="672"/>
    </row>
    <row r="3414" ht="15.75">
      <c r="N3414" s="672"/>
    </row>
    <row r="3415" ht="15.75">
      <c r="N3415" s="672"/>
    </row>
    <row r="3416" ht="15.75">
      <c r="N3416" s="672"/>
    </row>
    <row r="3417" ht="15.75">
      <c r="N3417" s="672"/>
    </row>
    <row r="3418" ht="15.75">
      <c r="N3418" s="672"/>
    </row>
    <row r="3419" ht="15.75">
      <c r="N3419" s="672"/>
    </row>
    <row r="3420" ht="15.75">
      <c r="N3420" s="672"/>
    </row>
    <row r="3421" ht="15.75">
      <c r="N3421" s="672"/>
    </row>
    <row r="3422" ht="15.75">
      <c r="N3422" s="672"/>
    </row>
    <row r="3423" ht="15.75">
      <c r="N3423" s="672"/>
    </row>
    <row r="3424" ht="15.75">
      <c r="N3424" s="672"/>
    </row>
    <row r="3425" ht="15.75">
      <c r="N3425" s="672"/>
    </row>
    <row r="3426" ht="15.75">
      <c r="N3426" s="672"/>
    </row>
    <row r="3427" ht="15.75">
      <c r="N3427" s="672"/>
    </row>
    <row r="3428" ht="15.75">
      <c r="N3428" s="672"/>
    </row>
    <row r="3429" ht="15.75">
      <c r="N3429" s="672"/>
    </row>
    <row r="3430" ht="15.75">
      <c r="N3430" s="672"/>
    </row>
    <row r="3431" ht="15.75">
      <c r="N3431" s="672"/>
    </row>
    <row r="3432" ht="15.75">
      <c r="N3432" s="672"/>
    </row>
    <row r="3433" ht="15.75">
      <c r="N3433" s="672"/>
    </row>
    <row r="3434" ht="15.75">
      <c r="N3434" s="672"/>
    </row>
    <row r="3435" ht="15.75">
      <c r="N3435" s="672"/>
    </row>
    <row r="3436" ht="15.75">
      <c r="N3436" s="672"/>
    </row>
    <row r="3437" ht="15.75">
      <c r="N3437" s="672"/>
    </row>
    <row r="3438" ht="15.75">
      <c r="N3438" s="672"/>
    </row>
    <row r="3439" ht="15.75">
      <c r="N3439" s="672"/>
    </row>
    <row r="3440" ht="15.75">
      <c r="N3440" s="672"/>
    </row>
    <row r="3441" ht="15.75">
      <c r="N3441" s="672"/>
    </row>
    <row r="3442" ht="15.75">
      <c r="N3442" s="672"/>
    </row>
    <row r="3443" ht="15.75">
      <c r="N3443" s="672"/>
    </row>
    <row r="3444" ht="15.75">
      <c r="N3444" s="672"/>
    </row>
    <row r="3445" ht="15.75">
      <c r="N3445" s="672"/>
    </row>
    <row r="3446" ht="15.75">
      <c r="N3446" s="672"/>
    </row>
    <row r="3447" ht="15.75">
      <c r="N3447" s="672"/>
    </row>
    <row r="3448" ht="15.75">
      <c r="N3448" s="672"/>
    </row>
    <row r="3449" ht="15.75">
      <c r="N3449" s="672"/>
    </row>
    <row r="3450" ht="15.75">
      <c r="N3450" s="672"/>
    </row>
    <row r="3451" ht="15.75">
      <c r="N3451" s="672"/>
    </row>
    <row r="3452" ht="15.75">
      <c r="N3452" s="672"/>
    </row>
    <row r="3453" ht="15.75">
      <c r="N3453" s="672"/>
    </row>
    <row r="3454" ht="15.75">
      <c r="N3454" s="672"/>
    </row>
    <row r="3455" ht="15.75">
      <c r="N3455" s="672"/>
    </row>
    <row r="3456" ht="15.75">
      <c r="N3456" s="672"/>
    </row>
    <row r="3457" ht="15.75">
      <c r="N3457" s="672"/>
    </row>
    <row r="3458" ht="15.75">
      <c r="N3458" s="672"/>
    </row>
    <row r="3459" ht="15.75">
      <c r="N3459" s="672"/>
    </row>
    <row r="3460" ht="15.75">
      <c r="N3460" s="672"/>
    </row>
    <row r="3461" ht="15.75">
      <c r="N3461" s="672"/>
    </row>
    <row r="3462" ht="15.75">
      <c r="N3462" s="672"/>
    </row>
    <row r="3463" ht="15.75">
      <c r="N3463" s="672"/>
    </row>
    <row r="3464" ht="15.75">
      <c r="N3464" s="672"/>
    </row>
    <row r="3465" ht="15.75">
      <c r="N3465" s="672"/>
    </row>
    <row r="3466" ht="15.75">
      <c r="N3466" s="672"/>
    </row>
    <row r="3467" ht="15.75">
      <c r="N3467" s="672"/>
    </row>
    <row r="3468" ht="15.75">
      <c r="N3468" s="672"/>
    </row>
    <row r="3469" ht="15.75">
      <c r="N3469" s="672"/>
    </row>
    <row r="3470" ht="15.75">
      <c r="N3470" s="672"/>
    </row>
    <row r="3471" ht="15.75">
      <c r="N3471" s="672"/>
    </row>
    <row r="3472" ht="15.75">
      <c r="N3472" s="672"/>
    </row>
    <row r="3473" ht="15.75">
      <c r="N3473" s="672"/>
    </row>
    <row r="3474" ht="15.75">
      <c r="N3474" s="672"/>
    </row>
    <row r="3475" ht="15.75">
      <c r="N3475" s="672"/>
    </row>
    <row r="3476" ht="15.75">
      <c r="N3476" s="672"/>
    </row>
    <row r="3477" ht="15.75">
      <c r="N3477" s="672"/>
    </row>
    <row r="3478" ht="15.75">
      <c r="N3478" s="672"/>
    </row>
    <row r="3479" ht="15.75">
      <c r="N3479" s="672"/>
    </row>
    <row r="3480" ht="15.75">
      <c r="N3480" s="672"/>
    </row>
    <row r="3481" ht="15.75">
      <c r="N3481" s="672"/>
    </row>
    <row r="3482" ht="15.75">
      <c r="N3482" s="672"/>
    </row>
    <row r="3483" ht="15.75">
      <c r="N3483" s="672"/>
    </row>
    <row r="3484" ht="15.75">
      <c r="N3484" s="672"/>
    </row>
    <row r="3485" ht="15.75">
      <c r="N3485" s="672"/>
    </row>
    <row r="3486" ht="15.75">
      <c r="N3486" s="672"/>
    </row>
    <row r="3487" ht="15.75">
      <c r="N3487" s="672"/>
    </row>
    <row r="3488" ht="15.75">
      <c r="N3488" s="672"/>
    </row>
    <row r="3489" ht="15.75">
      <c r="N3489" s="672"/>
    </row>
    <row r="3490" ht="15.75">
      <c r="N3490" s="672"/>
    </row>
    <row r="3491" ht="15.75">
      <c r="N3491" s="672"/>
    </row>
    <row r="3492" ht="15.75">
      <c r="N3492" s="672"/>
    </row>
    <row r="3493" ht="15.75">
      <c r="N3493" s="672"/>
    </row>
    <row r="3494" ht="15.75">
      <c r="N3494" s="672"/>
    </row>
    <row r="3495" ht="15.75">
      <c r="N3495" s="672"/>
    </row>
    <row r="3496" ht="15.75">
      <c r="N3496" s="672"/>
    </row>
    <row r="3497" ht="15.75">
      <c r="N3497" s="672"/>
    </row>
    <row r="3498" ht="15.75">
      <c r="N3498" s="672"/>
    </row>
    <row r="3499" ht="15.75">
      <c r="N3499" s="672"/>
    </row>
    <row r="3500" ht="15.75">
      <c r="N3500" s="672"/>
    </row>
    <row r="3501" ht="15.75">
      <c r="N3501" s="672"/>
    </row>
    <row r="3502" ht="15.75">
      <c r="N3502" s="672"/>
    </row>
    <row r="3503" ht="15.75">
      <c r="N3503" s="672"/>
    </row>
    <row r="3504" ht="15.75">
      <c r="N3504" s="672"/>
    </row>
    <row r="3505" ht="15.75">
      <c r="N3505" s="672"/>
    </row>
    <row r="3506" ht="15.75">
      <c r="N3506" s="672"/>
    </row>
    <row r="3507" ht="15.75">
      <c r="N3507" s="672"/>
    </row>
    <row r="3508" ht="15.75">
      <c r="N3508" s="672"/>
    </row>
    <row r="3509" ht="15.75">
      <c r="N3509" s="672"/>
    </row>
    <row r="3510" ht="15.75">
      <c r="N3510" s="672"/>
    </row>
    <row r="3511" ht="15.75">
      <c r="N3511" s="672"/>
    </row>
    <row r="3512" ht="15.75">
      <c r="N3512" s="672"/>
    </row>
    <row r="3513" ht="15.75">
      <c r="N3513" s="672"/>
    </row>
    <row r="3514" ht="15.75">
      <c r="N3514" s="672"/>
    </row>
    <row r="3515" ht="15.75">
      <c r="N3515" s="672"/>
    </row>
    <row r="3516" ht="15.75">
      <c r="N3516" s="672"/>
    </row>
    <row r="3517" ht="15.75">
      <c r="N3517" s="672"/>
    </row>
    <row r="3518" ht="15.75">
      <c r="N3518" s="672"/>
    </row>
    <row r="3519" ht="15.75">
      <c r="N3519" s="672"/>
    </row>
    <row r="3520" ht="15.75">
      <c r="N3520" s="672"/>
    </row>
    <row r="3521" ht="15.75">
      <c r="N3521" s="672"/>
    </row>
    <row r="3522" ht="15.75">
      <c r="N3522" s="672"/>
    </row>
    <row r="3523" ht="15.75">
      <c r="N3523" s="672"/>
    </row>
    <row r="3524" ht="15.75">
      <c r="N3524" s="672"/>
    </row>
    <row r="3525" ht="15.75">
      <c r="N3525" s="672"/>
    </row>
    <row r="3526" ht="15.75">
      <c r="N3526" s="672"/>
    </row>
    <row r="3527" ht="15.75">
      <c r="N3527" s="672"/>
    </row>
    <row r="3528" ht="15.75">
      <c r="N3528" s="672"/>
    </row>
    <row r="3529" ht="15.75">
      <c r="N3529" s="672"/>
    </row>
    <row r="3530" ht="15.75">
      <c r="N3530" s="672"/>
    </row>
    <row r="3531" ht="15.75">
      <c r="N3531" s="672"/>
    </row>
    <row r="3532" ht="15.75">
      <c r="N3532" s="672"/>
    </row>
    <row r="3533" ht="15.75">
      <c r="N3533" s="672"/>
    </row>
    <row r="3534" ht="15.75">
      <c r="N3534" s="672"/>
    </row>
    <row r="3535" ht="15.75">
      <c r="N3535" s="672"/>
    </row>
    <row r="3536" ht="15.75">
      <c r="N3536" s="672"/>
    </row>
    <row r="3537" ht="15.75">
      <c r="N3537" s="672"/>
    </row>
    <row r="3538" ht="15.75">
      <c r="N3538" s="672"/>
    </row>
    <row r="3539" ht="15.75">
      <c r="N3539" s="672"/>
    </row>
    <row r="3540" ht="15.75">
      <c r="N3540" s="672"/>
    </row>
    <row r="3541" ht="15.75">
      <c r="N3541" s="672"/>
    </row>
    <row r="3542" ht="15.75">
      <c r="N3542" s="672"/>
    </row>
    <row r="3543" ht="15.75">
      <c r="N3543" s="672"/>
    </row>
    <row r="3544" ht="15.75">
      <c r="N3544" s="672"/>
    </row>
    <row r="3545" ht="15.75">
      <c r="N3545" s="672"/>
    </row>
    <row r="3546" ht="15.75">
      <c r="N3546" s="672"/>
    </row>
    <row r="3547" ht="15.75">
      <c r="N3547" s="672"/>
    </row>
    <row r="3548" ht="15.75">
      <c r="N3548" s="672"/>
    </row>
    <row r="3549" ht="15.75">
      <c r="N3549" s="672"/>
    </row>
    <row r="3550" ht="15.75">
      <c r="N3550" s="672"/>
    </row>
    <row r="3551" ht="15.75">
      <c r="N3551" s="672"/>
    </row>
    <row r="3552" ht="15.75">
      <c r="N3552" s="672"/>
    </row>
    <row r="3553" ht="15.75">
      <c r="N3553" s="672"/>
    </row>
    <row r="3554" ht="15.75">
      <c r="N3554" s="672"/>
    </row>
    <row r="3555" ht="15.75">
      <c r="N3555" s="672"/>
    </row>
    <row r="3556" ht="15.75">
      <c r="N3556" s="672"/>
    </row>
    <row r="3557" ht="15.75">
      <c r="N3557" s="672"/>
    </row>
    <row r="3558" ht="15.75">
      <c r="N3558" s="672"/>
    </row>
    <row r="3559" ht="15.75">
      <c r="N3559" s="672"/>
    </row>
    <row r="3560" ht="15.75">
      <c r="N3560" s="672"/>
    </row>
    <row r="3561" ht="15.75">
      <c r="N3561" s="672"/>
    </row>
    <row r="3562" ht="15.75">
      <c r="N3562" s="672"/>
    </row>
    <row r="3563" ht="15.75">
      <c r="N3563" s="672"/>
    </row>
    <row r="3564" ht="15.75">
      <c r="N3564" s="672"/>
    </row>
    <row r="3565" ht="15.75">
      <c r="N3565" s="672"/>
    </row>
    <row r="3566" ht="15.75">
      <c r="N3566" s="672"/>
    </row>
    <row r="3567" ht="15.75">
      <c r="N3567" s="672"/>
    </row>
    <row r="3568" ht="15.75">
      <c r="N3568" s="672"/>
    </row>
    <row r="3569" ht="15.75">
      <c r="N3569" s="672"/>
    </row>
    <row r="3570" ht="15.75">
      <c r="N3570" s="672"/>
    </row>
    <row r="3571" ht="15.75">
      <c r="N3571" s="672"/>
    </row>
    <row r="3572" ht="15.75">
      <c r="N3572" s="672"/>
    </row>
    <row r="3573" ht="15.75">
      <c r="N3573" s="672"/>
    </row>
    <row r="3574" ht="15.75">
      <c r="N3574" s="672"/>
    </row>
    <row r="3575" ht="15.75">
      <c r="N3575" s="672"/>
    </row>
    <row r="3576" ht="15.75">
      <c r="N3576" s="672"/>
    </row>
    <row r="3577" ht="15.75">
      <c r="N3577" s="672"/>
    </row>
    <row r="3578" ht="15.75">
      <c r="N3578" s="672"/>
    </row>
    <row r="3579" ht="15.75">
      <c r="N3579" s="672"/>
    </row>
    <row r="3580" ht="15.75">
      <c r="N3580" s="672"/>
    </row>
    <row r="3581" ht="15.75">
      <c r="N3581" s="672"/>
    </row>
    <row r="3582" ht="15.75">
      <c r="N3582" s="672"/>
    </row>
    <row r="3583" ht="15.75">
      <c r="N3583" s="672"/>
    </row>
    <row r="3584" ht="15.75">
      <c r="N3584" s="672"/>
    </row>
    <row r="3585" ht="15.75">
      <c r="N3585" s="672"/>
    </row>
    <row r="3586" ht="15.75">
      <c r="N3586" s="672"/>
    </row>
    <row r="3587" ht="15.75">
      <c r="N3587" s="672"/>
    </row>
    <row r="3588" ht="15.75">
      <c r="N3588" s="672"/>
    </row>
    <row r="3589" ht="15.75">
      <c r="N3589" s="672"/>
    </row>
    <row r="3590" ht="15.75">
      <c r="N3590" s="672"/>
    </row>
    <row r="3591" ht="15.75">
      <c r="N3591" s="672"/>
    </row>
    <row r="3592" ht="15.75">
      <c r="N3592" s="672"/>
    </row>
    <row r="3593" ht="15.75">
      <c r="N3593" s="672"/>
    </row>
    <row r="3594" ht="15.75">
      <c r="N3594" s="672"/>
    </row>
    <row r="3595" ht="15.75">
      <c r="N3595" s="672"/>
    </row>
    <row r="3596" ht="15.75">
      <c r="N3596" s="672"/>
    </row>
    <row r="3597" ht="15.75">
      <c r="N3597" s="672"/>
    </row>
    <row r="3598" ht="15.75">
      <c r="N3598" s="672"/>
    </row>
    <row r="3599" ht="15.75">
      <c r="N3599" s="672"/>
    </row>
    <row r="3600" ht="15.75">
      <c r="N3600" s="672"/>
    </row>
    <row r="3601" ht="15.75">
      <c r="N3601" s="672"/>
    </row>
    <row r="3602" ht="15.75">
      <c r="N3602" s="672"/>
    </row>
    <row r="3603" ht="15.75">
      <c r="N3603" s="672"/>
    </row>
    <row r="3604" ht="15.75">
      <c r="N3604" s="672"/>
    </row>
    <row r="3605" ht="15.75">
      <c r="N3605" s="672"/>
    </row>
    <row r="3606" ht="15.75">
      <c r="N3606" s="672"/>
    </row>
    <row r="3607" ht="15.75">
      <c r="N3607" s="672"/>
    </row>
    <row r="3608" ht="15.75">
      <c r="N3608" s="672"/>
    </row>
    <row r="3609" ht="15.75">
      <c r="N3609" s="672"/>
    </row>
    <row r="3610" ht="15.75">
      <c r="N3610" s="672"/>
    </row>
    <row r="3611" ht="15.75">
      <c r="N3611" s="672"/>
    </row>
    <row r="3612" ht="15.75">
      <c r="N3612" s="672"/>
    </row>
    <row r="3613" ht="15.75">
      <c r="N3613" s="672"/>
    </row>
    <row r="3614" ht="15.75">
      <c r="N3614" s="672"/>
    </row>
    <row r="3615" ht="15.75">
      <c r="N3615" s="672"/>
    </row>
    <row r="3616" ht="15.75">
      <c r="N3616" s="672"/>
    </row>
    <row r="3617" ht="15.75">
      <c r="N3617" s="672"/>
    </row>
    <row r="3618" ht="15.75">
      <c r="N3618" s="672"/>
    </row>
    <row r="3619" ht="15.75">
      <c r="N3619" s="672"/>
    </row>
    <row r="3620" ht="15.75">
      <c r="N3620" s="672"/>
    </row>
    <row r="3621" ht="15.75">
      <c r="N3621" s="672"/>
    </row>
    <row r="3622" ht="15.75">
      <c r="N3622" s="672"/>
    </row>
    <row r="3623" ht="15.75">
      <c r="N3623" s="672"/>
    </row>
    <row r="3624" ht="15.75">
      <c r="N3624" s="672"/>
    </row>
    <row r="3625" ht="15.75">
      <c r="N3625" s="672"/>
    </row>
    <row r="3626" ht="15.75">
      <c r="N3626" s="672"/>
    </row>
    <row r="3627" ht="15.75">
      <c r="N3627" s="672"/>
    </row>
    <row r="3628" ht="15.75">
      <c r="N3628" s="672"/>
    </row>
    <row r="3629" ht="15.75">
      <c r="N3629" s="672"/>
    </row>
    <row r="3630" ht="15.75">
      <c r="N3630" s="672"/>
    </row>
    <row r="3631" ht="15.75">
      <c r="N3631" s="672"/>
    </row>
    <row r="3632" ht="15.75">
      <c r="N3632" s="672"/>
    </row>
    <row r="3633" ht="15.75">
      <c r="N3633" s="672"/>
    </row>
    <row r="3634" ht="15.75">
      <c r="N3634" s="672"/>
    </row>
    <row r="3635" ht="15.75">
      <c r="N3635" s="672"/>
    </row>
    <row r="3636" ht="15.75">
      <c r="N3636" s="672"/>
    </row>
    <row r="3637" ht="15.75">
      <c r="N3637" s="672"/>
    </row>
    <row r="3638" ht="15.75">
      <c r="N3638" s="672"/>
    </row>
    <row r="3639" ht="15.75">
      <c r="N3639" s="672"/>
    </row>
    <row r="3640" ht="15.75">
      <c r="N3640" s="672"/>
    </row>
    <row r="3641" ht="15.75">
      <c r="N3641" s="672"/>
    </row>
    <row r="3642" ht="15.75">
      <c r="N3642" s="672"/>
    </row>
    <row r="3643" ht="15.75">
      <c r="N3643" s="672"/>
    </row>
    <row r="3644" ht="15.75">
      <c r="N3644" s="672"/>
    </row>
    <row r="3645" ht="15.75">
      <c r="N3645" s="672"/>
    </row>
    <row r="3646" ht="15.75">
      <c r="N3646" s="672"/>
    </row>
    <row r="3647" ht="15.75">
      <c r="N3647" s="672"/>
    </row>
    <row r="3648" ht="15.75">
      <c r="N3648" s="672"/>
    </row>
    <row r="3649" ht="15.75">
      <c r="N3649" s="672"/>
    </row>
    <row r="3650" ht="15.75">
      <c r="N3650" s="672"/>
    </row>
    <row r="3651" ht="15.75">
      <c r="N3651" s="672"/>
    </row>
    <row r="3652" ht="15.75">
      <c r="N3652" s="672"/>
    </row>
    <row r="3653" ht="15.75">
      <c r="N3653" s="672"/>
    </row>
    <row r="3654" ht="15.75">
      <c r="N3654" s="672"/>
    </row>
    <row r="3655" ht="15.75">
      <c r="N3655" s="672"/>
    </row>
    <row r="3656" ht="15.75">
      <c r="N3656" s="672"/>
    </row>
    <row r="3657" ht="15.75">
      <c r="N3657" s="672"/>
    </row>
    <row r="3658" ht="15.75">
      <c r="N3658" s="672"/>
    </row>
    <row r="3659" ht="15.75">
      <c r="N3659" s="672"/>
    </row>
    <row r="3660" ht="15.75">
      <c r="N3660" s="672"/>
    </row>
    <row r="3661" ht="15.75">
      <c r="N3661" s="672"/>
    </row>
    <row r="3662" ht="15.75">
      <c r="N3662" s="672"/>
    </row>
    <row r="3663" ht="15.75">
      <c r="N3663" s="672"/>
    </row>
    <row r="3664" ht="15.75">
      <c r="N3664" s="672"/>
    </row>
    <row r="3665" ht="15.75">
      <c r="N3665" s="672"/>
    </row>
    <row r="3666" ht="15.75">
      <c r="N3666" s="672"/>
    </row>
    <row r="3667" ht="15.75">
      <c r="N3667" s="672"/>
    </row>
    <row r="3668" ht="15.75">
      <c r="N3668" s="672"/>
    </row>
    <row r="3669" ht="15.75">
      <c r="N3669" s="672"/>
    </row>
    <row r="3670" ht="15.75">
      <c r="N3670" s="672"/>
    </row>
    <row r="3671" ht="15.75">
      <c r="N3671" s="672"/>
    </row>
    <row r="3672" ht="15.75">
      <c r="N3672" s="672"/>
    </row>
    <row r="3673" ht="15.75">
      <c r="N3673" s="672"/>
    </row>
    <row r="3674" ht="15.75">
      <c r="N3674" s="672"/>
    </row>
    <row r="3675" ht="15.75">
      <c r="N3675" s="672"/>
    </row>
    <row r="3676" ht="15.75">
      <c r="N3676" s="672"/>
    </row>
    <row r="3677" ht="15.75">
      <c r="N3677" s="672"/>
    </row>
    <row r="3678" ht="15.75">
      <c r="N3678" s="672"/>
    </row>
    <row r="3679" ht="15.75">
      <c r="N3679" s="672"/>
    </row>
    <row r="3680" ht="15.75">
      <c r="N3680" s="672"/>
    </row>
    <row r="3681" ht="15.75">
      <c r="N3681" s="672"/>
    </row>
    <row r="3682" ht="15.75">
      <c r="N3682" s="672"/>
    </row>
    <row r="3683" ht="15.75">
      <c r="N3683" s="672"/>
    </row>
    <row r="3684" ht="15.75">
      <c r="N3684" s="672"/>
    </row>
    <row r="3685" ht="15.75">
      <c r="N3685" s="672"/>
    </row>
    <row r="3686" ht="15.75">
      <c r="N3686" s="672"/>
    </row>
    <row r="3687" ht="15.75">
      <c r="N3687" s="672"/>
    </row>
    <row r="3688" ht="15.75">
      <c r="N3688" s="672"/>
    </row>
    <row r="3689" ht="15.75">
      <c r="N3689" s="672"/>
    </row>
    <row r="3690" ht="15.75">
      <c r="N3690" s="672"/>
    </row>
    <row r="3691" ht="15.75">
      <c r="N3691" s="672"/>
    </row>
    <row r="3692" ht="15.75">
      <c r="N3692" s="672"/>
    </row>
    <row r="3693" ht="15.75">
      <c r="N3693" s="672"/>
    </row>
    <row r="3694" ht="15.75">
      <c r="N3694" s="672"/>
    </row>
    <row r="3695" ht="15.75">
      <c r="N3695" s="672"/>
    </row>
    <row r="3696" ht="15.75">
      <c r="N3696" s="672"/>
    </row>
    <row r="3697" ht="15.75">
      <c r="N3697" s="672"/>
    </row>
    <row r="3698" ht="15.75">
      <c r="N3698" s="672"/>
    </row>
    <row r="3699" ht="15.75">
      <c r="N3699" s="672"/>
    </row>
    <row r="3700" ht="15.75">
      <c r="N3700" s="672"/>
    </row>
    <row r="3701" ht="15.75">
      <c r="N3701" s="672"/>
    </row>
    <row r="3702" ht="15.75">
      <c r="N3702" s="672"/>
    </row>
    <row r="3703" ht="15.75">
      <c r="N3703" s="672"/>
    </row>
    <row r="3704" ht="15.75">
      <c r="N3704" s="672"/>
    </row>
    <row r="3705" ht="15.75">
      <c r="N3705" s="672"/>
    </row>
    <row r="3706" ht="15.75">
      <c r="N3706" s="672"/>
    </row>
    <row r="3707" ht="15.75">
      <c r="N3707" s="672"/>
    </row>
    <row r="3708" ht="15.75">
      <c r="N3708" s="672"/>
    </row>
    <row r="3709" ht="15.75">
      <c r="N3709" s="672"/>
    </row>
    <row r="3710" ht="15.75">
      <c r="N3710" s="672"/>
    </row>
    <row r="3711" ht="15.75">
      <c r="N3711" s="672"/>
    </row>
    <row r="3712" ht="15.75">
      <c r="N3712" s="672"/>
    </row>
    <row r="3713" ht="15.75">
      <c r="N3713" s="672"/>
    </row>
    <row r="3714" ht="15.75">
      <c r="N3714" s="672"/>
    </row>
    <row r="3715" ht="15.75">
      <c r="N3715" s="672"/>
    </row>
    <row r="3716" ht="15.75">
      <c r="N3716" s="672"/>
    </row>
    <row r="3717" ht="15.75">
      <c r="N3717" s="672"/>
    </row>
    <row r="3718" ht="15.75">
      <c r="N3718" s="672"/>
    </row>
    <row r="3719" ht="15.75">
      <c r="N3719" s="672"/>
    </row>
    <row r="3720" ht="15.75">
      <c r="N3720" s="672"/>
    </row>
    <row r="3721" ht="15.75">
      <c r="N3721" s="672"/>
    </row>
    <row r="3722" ht="15.75">
      <c r="N3722" s="672"/>
    </row>
    <row r="3723" ht="15.75">
      <c r="N3723" s="672"/>
    </row>
    <row r="3724" ht="15.75">
      <c r="N3724" s="672"/>
    </row>
    <row r="3725" ht="15.75">
      <c r="N3725" s="672"/>
    </row>
    <row r="3726" ht="15.75">
      <c r="N3726" s="672"/>
    </row>
    <row r="3727" ht="15.75">
      <c r="N3727" s="672"/>
    </row>
    <row r="3728" ht="15.75">
      <c r="N3728" s="672"/>
    </row>
    <row r="3729" ht="15.75">
      <c r="N3729" s="672"/>
    </row>
    <row r="3730" ht="15.75">
      <c r="N3730" s="672"/>
    </row>
    <row r="3731" ht="15.75">
      <c r="N3731" s="672"/>
    </row>
    <row r="3732" ht="15.75">
      <c r="N3732" s="672"/>
    </row>
    <row r="3733" ht="15.75">
      <c r="N3733" s="672"/>
    </row>
    <row r="3734" ht="15.75">
      <c r="N3734" s="672"/>
    </row>
    <row r="3735" ht="15.75">
      <c r="N3735" s="672"/>
    </row>
    <row r="3736" ht="15.75">
      <c r="N3736" s="672"/>
    </row>
    <row r="3737" ht="15.75">
      <c r="N3737" s="672"/>
    </row>
    <row r="3738" ht="15.75">
      <c r="N3738" s="672"/>
    </row>
    <row r="3739" ht="15.75">
      <c r="N3739" s="672"/>
    </row>
    <row r="3740" ht="15.75">
      <c r="N3740" s="672"/>
    </row>
    <row r="3741" ht="15.75">
      <c r="N3741" s="672"/>
    </row>
    <row r="3742" ht="15.75">
      <c r="N3742" s="672"/>
    </row>
    <row r="3743" ht="15.75">
      <c r="N3743" s="672"/>
    </row>
    <row r="3744" ht="15.75">
      <c r="N3744" s="672"/>
    </row>
    <row r="3745" ht="15.75">
      <c r="N3745" s="672"/>
    </row>
    <row r="3746" ht="15.75">
      <c r="N3746" s="672"/>
    </row>
    <row r="3747" ht="15.75">
      <c r="N3747" s="672"/>
    </row>
    <row r="3748" ht="15.75">
      <c r="N3748" s="672"/>
    </row>
    <row r="3749" ht="15.75">
      <c r="N3749" s="672"/>
    </row>
    <row r="3750" ht="15.75">
      <c r="N3750" s="672"/>
    </row>
    <row r="3751" ht="15.75">
      <c r="N3751" s="672"/>
    </row>
    <row r="3752" ht="15.75">
      <c r="N3752" s="672"/>
    </row>
    <row r="3753" ht="15.75">
      <c r="N3753" s="672"/>
    </row>
    <row r="3754" ht="15.75">
      <c r="N3754" s="672"/>
    </row>
    <row r="3755" ht="15.75">
      <c r="N3755" s="672"/>
    </row>
    <row r="3756" ht="15.75">
      <c r="N3756" s="672"/>
    </row>
    <row r="3757" ht="15.75">
      <c r="N3757" s="672"/>
    </row>
    <row r="3758" ht="15.75">
      <c r="N3758" s="672"/>
    </row>
    <row r="3759" ht="15.75">
      <c r="N3759" s="672"/>
    </row>
    <row r="3760" ht="15.75">
      <c r="N3760" s="672"/>
    </row>
    <row r="3761" ht="15.75">
      <c r="N3761" s="672"/>
    </row>
    <row r="3762" ht="15.75">
      <c r="N3762" s="672"/>
    </row>
    <row r="3763" ht="15.75">
      <c r="N3763" s="672"/>
    </row>
    <row r="3764" ht="15.75">
      <c r="N3764" s="672"/>
    </row>
    <row r="3765" ht="15.75">
      <c r="N3765" s="672"/>
    </row>
    <row r="3766" ht="15.75">
      <c r="N3766" s="672"/>
    </row>
    <row r="3767" ht="15.75">
      <c r="N3767" s="672"/>
    </row>
    <row r="3768" ht="15.75">
      <c r="N3768" s="672"/>
    </row>
    <row r="3769" ht="15.75">
      <c r="N3769" s="672"/>
    </row>
    <row r="3770" ht="15.75">
      <c r="N3770" s="672"/>
    </row>
    <row r="3771" ht="15.75">
      <c r="N3771" s="672"/>
    </row>
    <row r="3772" ht="15.75">
      <c r="N3772" s="672"/>
    </row>
    <row r="3773" ht="15.75">
      <c r="N3773" s="672"/>
    </row>
    <row r="3774" ht="15.75">
      <c r="N3774" s="672"/>
    </row>
    <row r="3775" ht="15.75">
      <c r="N3775" s="672"/>
    </row>
    <row r="3776" ht="15.75">
      <c r="N3776" s="672"/>
    </row>
    <row r="3777" ht="15.75">
      <c r="N3777" s="672"/>
    </row>
    <row r="3778" ht="15.75">
      <c r="N3778" s="672"/>
    </row>
    <row r="3779" ht="15.75">
      <c r="N3779" s="672"/>
    </row>
    <row r="3780" ht="15.75">
      <c r="N3780" s="672"/>
    </row>
    <row r="3781" ht="15.75">
      <c r="N3781" s="672"/>
    </row>
    <row r="3782" ht="15.75">
      <c r="N3782" s="672"/>
    </row>
    <row r="3783" ht="15.75">
      <c r="N3783" s="672"/>
    </row>
    <row r="3784" ht="15.75">
      <c r="N3784" s="672"/>
    </row>
    <row r="3785" ht="15.75">
      <c r="N3785" s="672"/>
    </row>
    <row r="3786" ht="15.75">
      <c r="N3786" s="672"/>
    </row>
    <row r="3787" ht="15.75">
      <c r="N3787" s="672"/>
    </row>
    <row r="3788" ht="15.75">
      <c r="N3788" s="672"/>
    </row>
    <row r="3789" ht="15.75">
      <c r="N3789" s="672"/>
    </row>
    <row r="3790" ht="15.75">
      <c r="N3790" s="672"/>
    </row>
    <row r="3791" ht="15.75">
      <c r="N3791" s="672"/>
    </row>
    <row r="3792" ht="15.75">
      <c r="N3792" s="672"/>
    </row>
    <row r="3793" ht="15.75">
      <c r="N3793" s="672"/>
    </row>
    <row r="3794" ht="15.75">
      <c r="N3794" s="672"/>
    </row>
    <row r="3795" ht="15.75">
      <c r="N3795" s="672"/>
    </row>
    <row r="3796" ht="15.75">
      <c r="N3796" s="672"/>
    </row>
    <row r="3797" ht="15.75">
      <c r="N3797" s="672"/>
    </row>
    <row r="3798" ht="15.75">
      <c r="N3798" s="672"/>
    </row>
    <row r="3799" ht="15.75">
      <c r="N3799" s="672"/>
    </row>
    <row r="3800" ht="15.75">
      <c r="N3800" s="672"/>
    </row>
    <row r="3801" ht="15.75">
      <c r="N3801" s="672"/>
    </row>
    <row r="3802" ht="15.75">
      <c r="N3802" s="672"/>
    </row>
    <row r="3803" ht="15.75">
      <c r="N3803" s="672"/>
    </row>
    <row r="3804" ht="15.75">
      <c r="N3804" s="672"/>
    </row>
    <row r="3805" ht="15.75">
      <c r="N3805" s="672"/>
    </row>
    <row r="3806" ht="15.75">
      <c r="N3806" s="672"/>
    </row>
    <row r="3807" ht="15.75">
      <c r="N3807" s="672"/>
    </row>
    <row r="3808" ht="15.75">
      <c r="N3808" s="672"/>
    </row>
    <row r="3809" ht="15.75">
      <c r="N3809" s="672"/>
    </row>
    <row r="3810" ht="15.75">
      <c r="N3810" s="672"/>
    </row>
    <row r="3811" ht="15.75">
      <c r="N3811" s="672"/>
    </row>
    <row r="3812" ht="15.75">
      <c r="N3812" s="672"/>
    </row>
    <row r="3813" ht="15.75">
      <c r="N3813" s="672"/>
    </row>
    <row r="3814" ht="15.75">
      <c r="N3814" s="672"/>
    </row>
    <row r="3815" ht="15.75">
      <c r="N3815" s="672"/>
    </row>
    <row r="3816" ht="15.75">
      <c r="N3816" s="672"/>
    </row>
    <row r="3817" ht="15.75">
      <c r="N3817" s="672"/>
    </row>
    <row r="3818" ht="15.75">
      <c r="N3818" s="672"/>
    </row>
    <row r="3819" ht="15.75">
      <c r="N3819" s="672"/>
    </row>
    <row r="3820" ht="15.75">
      <c r="N3820" s="672"/>
    </row>
    <row r="3821" ht="15.75">
      <c r="N3821" s="672"/>
    </row>
    <row r="3822" ht="15.75">
      <c r="N3822" s="672"/>
    </row>
    <row r="3823" ht="15.75">
      <c r="N3823" s="672"/>
    </row>
    <row r="3824" ht="15.75">
      <c r="N3824" s="672"/>
    </row>
    <row r="3825" ht="15.75">
      <c r="N3825" s="672"/>
    </row>
    <row r="3826" ht="15.75">
      <c r="N3826" s="672"/>
    </row>
    <row r="3827" ht="15.75">
      <c r="N3827" s="672"/>
    </row>
    <row r="3828" ht="15.75">
      <c r="N3828" s="672"/>
    </row>
    <row r="3829" ht="15.75">
      <c r="N3829" s="672"/>
    </row>
    <row r="3830" ht="15.75">
      <c r="N3830" s="672"/>
    </row>
    <row r="3831" ht="15.75">
      <c r="N3831" s="672"/>
    </row>
    <row r="3832" ht="15.75">
      <c r="N3832" s="672"/>
    </row>
    <row r="3833" ht="15.75">
      <c r="N3833" s="672"/>
    </row>
    <row r="3834" ht="15.75">
      <c r="N3834" s="672"/>
    </row>
    <row r="3835" ht="15.75">
      <c r="N3835" s="672"/>
    </row>
    <row r="3836" ht="15.75">
      <c r="N3836" s="672"/>
    </row>
    <row r="3837" ht="15.75">
      <c r="N3837" s="672"/>
    </row>
    <row r="3838" ht="15.75">
      <c r="N3838" s="672"/>
    </row>
    <row r="3839" ht="15.75">
      <c r="N3839" s="672"/>
    </row>
    <row r="3840" ht="15.75">
      <c r="N3840" s="672"/>
    </row>
    <row r="3841" ht="15.75">
      <c r="N3841" s="672"/>
    </row>
    <row r="3842" ht="15.75">
      <c r="N3842" s="672"/>
    </row>
    <row r="3843" ht="15.75">
      <c r="N3843" s="672"/>
    </row>
    <row r="3844" ht="15.75">
      <c r="N3844" s="672"/>
    </row>
    <row r="3845" ht="15.75">
      <c r="N3845" s="672"/>
    </row>
    <row r="3846" ht="15.75">
      <c r="N3846" s="672"/>
    </row>
    <row r="3847" ht="15.75">
      <c r="N3847" s="672"/>
    </row>
    <row r="3848" ht="15.75">
      <c r="N3848" s="672"/>
    </row>
    <row r="3849" ht="15.75">
      <c r="N3849" s="672"/>
    </row>
    <row r="3850" ht="15.75">
      <c r="N3850" s="672"/>
    </row>
    <row r="3851" ht="15.75">
      <c r="N3851" s="672"/>
    </row>
    <row r="3852" ht="15.75">
      <c r="N3852" s="672"/>
    </row>
    <row r="3853" ht="15.75">
      <c r="N3853" s="672"/>
    </row>
    <row r="3854" ht="15.75">
      <c r="N3854" s="672"/>
    </row>
    <row r="3855" ht="15.75">
      <c r="N3855" s="672"/>
    </row>
    <row r="3856" ht="15.75">
      <c r="N3856" s="672"/>
    </row>
    <row r="3857" ht="15.75">
      <c r="N3857" s="672"/>
    </row>
    <row r="3858" ht="15.75">
      <c r="N3858" s="672"/>
    </row>
    <row r="3859" ht="15.75">
      <c r="N3859" s="672"/>
    </row>
    <row r="3860" ht="15.75">
      <c r="N3860" s="672"/>
    </row>
    <row r="3861" ht="15.75">
      <c r="N3861" s="672"/>
    </row>
    <row r="3862" ht="15.75">
      <c r="N3862" s="672"/>
    </row>
    <row r="3863" ht="15.75">
      <c r="N3863" s="672"/>
    </row>
    <row r="3864" ht="15.75">
      <c r="N3864" s="672"/>
    </row>
    <row r="3865" ht="15.75">
      <c r="N3865" s="672"/>
    </row>
    <row r="3866" ht="15.75">
      <c r="N3866" s="672"/>
    </row>
    <row r="3867" ht="15.75">
      <c r="N3867" s="672"/>
    </row>
    <row r="3868" ht="15.75">
      <c r="N3868" s="672"/>
    </row>
    <row r="3869" ht="15.75">
      <c r="N3869" s="672"/>
    </row>
    <row r="3870" ht="15.75">
      <c r="N3870" s="672"/>
    </row>
    <row r="3871" ht="15.75">
      <c r="N3871" s="672"/>
    </row>
    <row r="3872" ht="15.75">
      <c r="N3872" s="672"/>
    </row>
    <row r="3873" ht="15.75">
      <c r="N3873" s="672"/>
    </row>
    <row r="3874" ht="15.75">
      <c r="N3874" s="672"/>
    </row>
    <row r="3875" ht="15.75">
      <c r="N3875" s="672"/>
    </row>
    <row r="3876" ht="15.75">
      <c r="N3876" s="672"/>
    </row>
    <row r="3877" ht="15.75">
      <c r="N3877" s="672"/>
    </row>
    <row r="3878" ht="15.75">
      <c r="N3878" s="672"/>
    </row>
    <row r="3879" ht="15.75">
      <c r="N3879" s="672"/>
    </row>
    <row r="3880" ht="15.75">
      <c r="N3880" s="672"/>
    </row>
    <row r="3881" ht="15.75">
      <c r="N3881" s="672"/>
    </row>
    <row r="3882" ht="15.75">
      <c r="N3882" s="672"/>
    </row>
    <row r="3883" ht="15.75">
      <c r="N3883" s="672"/>
    </row>
    <row r="3884" ht="15.75">
      <c r="N3884" s="672"/>
    </row>
    <row r="3885" ht="15.75">
      <c r="N3885" s="672"/>
    </row>
    <row r="3886" ht="15.75">
      <c r="N3886" s="672"/>
    </row>
    <row r="3887" ht="15.75">
      <c r="N3887" s="672"/>
    </row>
    <row r="3888" ht="15.75">
      <c r="N3888" s="672"/>
    </row>
    <row r="3889" ht="15.75">
      <c r="N3889" s="672"/>
    </row>
    <row r="3890" ht="15.75">
      <c r="N3890" s="672"/>
    </row>
    <row r="3891" ht="15.75">
      <c r="N3891" s="672"/>
    </row>
    <row r="3892" ht="15.75">
      <c r="N3892" s="672"/>
    </row>
    <row r="3893" ht="15.75">
      <c r="N3893" s="672"/>
    </row>
    <row r="3894" ht="15.75">
      <c r="N3894" s="672"/>
    </row>
    <row r="3895" ht="15.75">
      <c r="N3895" s="672"/>
    </row>
    <row r="3896" ht="15.75">
      <c r="N3896" s="672"/>
    </row>
    <row r="3897" ht="15.75">
      <c r="N3897" s="672"/>
    </row>
    <row r="3898" ht="15.75">
      <c r="N3898" s="672"/>
    </row>
    <row r="3899" ht="15.75">
      <c r="N3899" s="672"/>
    </row>
    <row r="3900" ht="15.75">
      <c r="N3900" s="672"/>
    </row>
    <row r="3901" ht="15.75">
      <c r="N3901" s="672"/>
    </row>
    <row r="3902" ht="15.75">
      <c r="N3902" s="672"/>
    </row>
    <row r="3903" ht="15.75">
      <c r="N3903" s="672"/>
    </row>
    <row r="3904" ht="15.75">
      <c r="N3904" s="672"/>
    </row>
    <row r="3905" ht="15.75">
      <c r="N3905" s="672"/>
    </row>
    <row r="3906" ht="15.75">
      <c r="N3906" s="672"/>
    </row>
    <row r="3907" ht="15.75">
      <c r="N3907" s="672"/>
    </row>
    <row r="3908" ht="15.75">
      <c r="N3908" s="672"/>
    </row>
    <row r="3909" ht="15.75">
      <c r="N3909" s="672"/>
    </row>
    <row r="3910" ht="15.75">
      <c r="N3910" s="672"/>
    </row>
    <row r="3911" ht="15.75">
      <c r="N3911" s="672"/>
    </row>
    <row r="3912" ht="15.75">
      <c r="N3912" s="672"/>
    </row>
    <row r="3913" ht="15.75">
      <c r="N3913" s="672"/>
    </row>
    <row r="3914" ht="15.75">
      <c r="N3914" s="672"/>
    </row>
    <row r="3915" ht="15.75">
      <c r="N3915" s="672"/>
    </row>
    <row r="3916" ht="15.75">
      <c r="N3916" s="672"/>
    </row>
    <row r="3917" ht="15.75">
      <c r="N3917" s="672"/>
    </row>
    <row r="3918" ht="15.75">
      <c r="N3918" s="672"/>
    </row>
    <row r="3919" ht="15.75">
      <c r="N3919" s="672"/>
    </row>
    <row r="3920" ht="15.75">
      <c r="N3920" s="672"/>
    </row>
    <row r="3921" ht="15.75">
      <c r="N3921" s="672"/>
    </row>
    <row r="3922" ht="15.75">
      <c r="N3922" s="672"/>
    </row>
    <row r="3923" ht="15.75">
      <c r="N3923" s="672"/>
    </row>
    <row r="3924" ht="15.75">
      <c r="N3924" s="672"/>
    </row>
    <row r="3925" ht="15.75">
      <c r="N3925" s="672"/>
    </row>
    <row r="3926" ht="15.75">
      <c r="N3926" s="672"/>
    </row>
    <row r="3927" ht="15.75">
      <c r="N3927" s="672"/>
    </row>
    <row r="3928" ht="15.75">
      <c r="N3928" s="672"/>
    </row>
    <row r="3929" ht="15.75">
      <c r="N3929" s="672"/>
    </row>
    <row r="3930" ht="15.75">
      <c r="N3930" s="672"/>
    </row>
    <row r="3931" ht="15.75">
      <c r="N3931" s="672"/>
    </row>
    <row r="3932" ht="15.75">
      <c r="N3932" s="672"/>
    </row>
    <row r="3933" ht="15.75">
      <c r="N3933" s="672"/>
    </row>
    <row r="3934" ht="15.75">
      <c r="N3934" s="672"/>
    </row>
    <row r="3935" ht="15.75">
      <c r="N3935" s="672"/>
    </row>
    <row r="3936" ht="15.75">
      <c r="N3936" s="672"/>
    </row>
    <row r="3937" ht="15.75">
      <c r="N3937" s="672"/>
    </row>
    <row r="3938" ht="15.75">
      <c r="N3938" s="672"/>
    </row>
    <row r="3939" ht="15.75">
      <c r="N3939" s="672"/>
    </row>
    <row r="3940" ht="15.75">
      <c r="N3940" s="672"/>
    </row>
    <row r="3941" ht="15.75">
      <c r="N3941" s="672"/>
    </row>
    <row r="3942" ht="15.75">
      <c r="N3942" s="672"/>
    </row>
    <row r="3943" ht="15.75">
      <c r="N3943" s="672"/>
    </row>
    <row r="3944" ht="15.75">
      <c r="N3944" s="672"/>
    </row>
    <row r="3945" ht="15.75">
      <c r="N3945" s="672"/>
    </row>
    <row r="3946" ht="15.75">
      <c r="N3946" s="672"/>
    </row>
    <row r="3947" ht="15.75">
      <c r="N3947" s="672"/>
    </row>
    <row r="3948" ht="15.75">
      <c r="N3948" s="672"/>
    </row>
    <row r="3949" ht="15.75">
      <c r="N3949" s="672"/>
    </row>
    <row r="3950" ht="15.75">
      <c r="N3950" s="672"/>
    </row>
    <row r="3951" ht="15.75">
      <c r="N3951" s="672"/>
    </row>
    <row r="3952" ht="15.75">
      <c r="N3952" s="672"/>
    </row>
    <row r="3953" ht="15.75">
      <c r="N3953" s="672"/>
    </row>
    <row r="3954" ht="15.75">
      <c r="N3954" s="672"/>
    </row>
    <row r="3955" ht="15.75">
      <c r="N3955" s="672"/>
    </row>
    <row r="3956" ht="15.75">
      <c r="N3956" s="672"/>
    </row>
    <row r="3957" ht="15.75">
      <c r="N3957" s="672"/>
    </row>
    <row r="3958" ht="15.75">
      <c r="N3958" s="672"/>
    </row>
    <row r="3959" ht="15.75">
      <c r="N3959" s="672"/>
    </row>
    <row r="3960" ht="15.75">
      <c r="N3960" s="672"/>
    </row>
    <row r="3961" ht="15.75">
      <c r="N3961" s="672"/>
    </row>
    <row r="3962" ht="15.75">
      <c r="N3962" s="672"/>
    </row>
    <row r="3963" ht="15.75">
      <c r="N3963" s="672"/>
    </row>
    <row r="3964" ht="15.75">
      <c r="N3964" s="672"/>
    </row>
    <row r="3965" ht="15.75">
      <c r="N3965" s="672"/>
    </row>
    <row r="3966" ht="15.75">
      <c r="N3966" s="672"/>
    </row>
    <row r="3967" ht="15.75">
      <c r="N3967" s="672"/>
    </row>
    <row r="3968" ht="15.75">
      <c r="N3968" s="672"/>
    </row>
    <row r="3969" ht="15.75">
      <c r="N3969" s="672"/>
    </row>
    <row r="3970" ht="15.75">
      <c r="N3970" s="672"/>
    </row>
    <row r="3971" ht="15.75">
      <c r="N3971" s="672"/>
    </row>
    <row r="3972" ht="15.75">
      <c r="N3972" s="672"/>
    </row>
    <row r="3973" ht="15.75">
      <c r="N3973" s="672"/>
    </row>
    <row r="3974" ht="15.75">
      <c r="N3974" s="672"/>
    </row>
    <row r="3975" ht="15.75">
      <c r="N3975" s="672"/>
    </row>
    <row r="3976" ht="15.75">
      <c r="N3976" s="672"/>
    </row>
    <row r="3977" ht="15.75">
      <c r="N3977" s="672"/>
    </row>
    <row r="3978" ht="15.75">
      <c r="N3978" s="672"/>
    </row>
    <row r="3979" ht="15.75">
      <c r="N3979" s="672"/>
    </row>
    <row r="3980" ht="15.75">
      <c r="N3980" s="672"/>
    </row>
    <row r="3981" ht="15.75">
      <c r="N3981" s="672"/>
    </row>
    <row r="3982" ht="15.75">
      <c r="N3982" s="672"/>
    </row>
    <row r="3983" ht="15.75">
      <c r="N3983" s="672"/>
    </row>
    <row r="3984" ht="15.75">
      <c r="N3984" s="672"/>
    </row>
    <row r="3985" ht="15.75">
      <c r="N3985" s="672"/>
    </row>
    <row r="3986" ht="15.75">
      <c r="N3986" s="672"/>
    </row>
    <row r="3987" ht="15.75">
      <c r="N3987" s="672"/>
    </row>
    <row r="3988" ht="15.75">
      <c r="N3988" s="672"/>
    </row>
    <row r="3989" ht="15.75">
      <c r="N3989" s="672"/>
    </row>
    <row r="3990" ht="15.75">
      <c r="N3990" s="672"/>
    </row>
    <row r="3991" ht="15.75">
      <c r="N3991" s="672"/>
    </row>
    <row r="3992" ht="15.75">
      <c r="N3992" s="672"/>
    </row>
    <row r="3993" ht="15.75">
      <c r="N3993" s="672"/>
    </row>
    <row r="3994" ht="15.75">
      <c r="N3994" s="672"/>
    </row>
    <row r="3995" ht="15.75">
      <c r="N3995" s="672"/>
    </row>
    <row r="3996" ht="15.75">
      <c r="N3996" s="672"/>
    </row>
    <row r="3997" ht="15.75">
      <c r="N3997" s="672"/>
    </row>
    <row r="3998" ht="15.75">
      <c r="N3998" s="672"/>
    </row>
    <row r="3999" ht="15.75">
      <c r="N3999" s="672"/>
    </row>
    <row r="4000" ht="15.75">
      <c r="N4000" s="672"/>
    </row>
    <row r="4001" ht="15.75">
      <c r="N4001" s="672"/>
    </row>
    <row r="4002" ht="15.75">
      <c r="N4002" s="672"/>
    </row>
    <row r="4003" ht="15.75">
      <c r="N4003" s="672"/>
    </row>
    <row r="4004" ht="15.75">
      <c r="N4004" s="672"/>
    </row>
    <row r="4005" ht="15.75">
      <c r="N4005" s="672"/>
    </row>
    <row r="4006" ht="15.75">
      <c r="N4006" s="672"/>
    </row>
    <row r="4007" ht="15.75">
      <c r="N4007" s="672"/>
    </row>
    <row r="4008" ht="15.75">
      <c r="N4008" s="672"/>
    </row>
    <row r="4009" ht="15.75">
      <c r="N4009" s="672"/>
    </row>
    <row r="4010" ht="15.75">
      <c r="N4010" s="672"/>
    </row>
    <row r="4011" ht="15.75">
      <c r="N4011" s="672"/>
    </row>
    <row r="4012" ht="15.75">
      <c r="N4012" s="672"/>
    </row>
    <row r="4013" ht="15.75">
      <c r="N4013" s="672"/>
    </row>
    <row r="4014" ht="15.75">
      <c r="N4014" s="672"/>
    </row>
    <row r="4015" ht="15.75">
      <c r="N4015" s="672"/>
    </row>
    <row r="4016" ht="15.75">
      <c r="N4016" s="672"/>
    </row>
    <row r="4017" ht="15.75">
      <c r="N4017" s="672"/>
    </row>
    <row r="4018" ht="15.75">
      <c r="N4018" s="672"/>
    </row>
    <row r="4019" ht="15.75">
      <c r="N4019" s="672"/>
    </row>
    <row r="4020" ht="15.75">
      <c r="N4020" s="672"/>
    </row>
    <row r="4021" ht="15.75">
      <c r="N4021" s="672"/>
    </row>
    <row r="4022" ht="15.75">
      <c r="N4022" s="672"/>
    </row>
    <row r="4023" ht="15.75">
      <c r="N4023" s="672"/>
    </row>
    <row r="4024" ht="15.75">
      <c r="N4024" s="672"/>
    </row>
    <row r="4025" ht="15.75">
      <c r="N4025" s="672"/>
    </row>
    <row r="4026" ht="15.75">
      <c r="N4026" s="672"/>
    </row>
    <row r="4027" ht="15.75">
      <c r="N4027" s="672"/>
    </row>
    <row r="4028" ht="15.75">
      <c r="N4028" s="672"/>
    </row>
    <row r="4029" ht="15.75">
      <c r="N4029" s="672"/>
    </row>
    <row r="4030" ht="15.75">
      <c r="N4030" s="672"/>
    </row>
    <row r="4031" ht="15.75">
      <c r="N4031" s="672"/>
    </row>
    <row r="4032" ht="15.75">
      <c r="N4032" s="672"/>
    </row>
    <row r="4033" ht="15.75">
      <c r="N4033" s="672"/>
    </row>
    <row r="4034" ht="15.75">
      <c r="N4034" s="672"/>
    </row>
    <row r="4035" ht="15.75">
      <c r="N4035" s="672"/>
    </row>
    <row r="4036" ht="15.75">
      <c r="N4036" s="672"/>
    </row>
    <row r="4037" ht="15.75">
      <c r="N4037" s="672"/>
    </row>
    <row r="4038" ht="15.75">
      <c r="N4038" s="672"/>
    </row>
    <row r="4039" ht="15.75">
      <c r="N4039" s="672"/>
    </row>
    <row r="4040" ht="15.75">
      <c r="N4040" s="672"/>
    </row>
    <row r="4041" ht="15.75">
      <c r="N4041" s="672"/>
    </row>
    <row r="4042" ht="15.75">
      <c r="N4042" s="672"/>
    </row>
    <row r="4043" ht="15.75">
      <c r="N4043" s="672"/>
    </row>
    <row r="4044" ht="15.75">
      <c r="N4044" s="672"/>
    </row>
    <row r="4045" ht="15.75">
      <c r="N4045" s="672"/>
    </row>
    <row r="4046" ht="15.75">
      <c r="N4046" s="672"/>
    </row>
    <row r="4047" ht="15.75">
      <c r="N4047" s="672"/>
    </row>
    <row r="4048" ht="15.75">
      <c r="N4048" s="672"/>
    </row>
    <row r="4049" ht="15.75">
      <c r="N4049" s="672"/>
    </row>
    <row r="4050" ht="15.75">
      <c r="N4050" s="672"/>
    </row>
    <row r="4051" ht="15.75">
      <c r="N4051" s="672"/>
    </row>
    <row r="4052" ht="15.75">
      <c r="N4052" s="672"/>
    </row>
    <row r="4053" ht="15.75">
      <c r="N4053" s="672"/>
    </row>
    <row r="4054" ht="15.75">
      <c r="N4054" s="672"/>
    </row>
    <row r="4055" ht="15.75">
      <c r="N4055" s="672"/>
    </row>
    <row r="4056" ht="15.75">
      <c r="N4056" s="672"/>
    </row>
    <row r="4057" ht="15.75">
      <c r="N4057" s="672"/>
    </row>
    <row r="4058" ht="15.75">
      <c r="N4058" s="672"/>
    </row>
    <row r="4059" ht="15.75">
      <c r="N4059" s="672"/>
    </row>
    <row r="4060" ht="15.75">
      <c r="N4060" s="672"/>
    </row>
    <row r="4061" ht="15.75">
      <c r="N4061" s="672"/>
    </row>
    <row r="4062" ht="15.75">
      <c r="N4062" s="672"/>
    </row>
    <row r="4063" ht="15.75">
      <c r="N4063" s="672"/>
    </row>
    <row r="4064" ht="15.75">
      <c r="N4064" s="672"/>
    </row>
    <row r="4065" ht="15.75">
      <c r="N4065" s="672"/>
    </row>
    <row r="4066" ht="15.75">
      <c r="N4066" s="672"/>
    </row>
    <row r="4067" ht="15.75">
      <c r="N4067" s="672"/>
    </row>
    <row r="4068" ht="15.75">
      <c r="N4068" s="672"/>
    </row>
    <row r="4069" ht="15.75">
      <c r="N4069" s="672"/>
    </row>
    <row r="4070" ht="15.75">
      <c r="N4070" s="672"/>
    </row>
    <row r="4071" ht="15.75">
      <c r="N4071" s="672"/>
    </row>
    <row r="4072" ht="15.75">
      <c r="N4072" s="672"/>
    </row>
    <row r="4073" ht="15.75">
      <c r="N4073" s="672"/>
    </row>
    <row r="4074" ht="15.75">
      <c r="N4074" s="672"/>
    </row>
    <row r="4075" ht="15.75">
      <c r="N4075" s="672"/>
    </row>
    <row r="4076" ht="15.75">
      <c r="N4076" s="672"/>
    </row>
    <row r="4077" ht="15.75">
      <c r="N4077" s="672"/>
    </row>
    <row r="4078" ht="15.75">
      <c r="N4078" s="672"/>
    </row>
    <row r="4079" ht="15.75">
      <c r="N4079" s="672"/>
    </row>
    <row r="4080" ht="15.75">
      <c r="N4080" s="672"/>
    </row>
    <row r="4081" ht="15.75">
      <c r="N4081" s="672"/>
    </row>
    <row r="4082" ht="15.75">
      <c r="N4082" s="672"/>
    </row>
    <row r="4083" ht="15.75">
      <c r="N4083" s="672"/>
    </row>
    <row r="4084" ht="15.75">
      <c r="N4084" s="672"/>
    </row>
    <row r="4085" ht="15.75">
      <c r="N4085" s="672"/>
    </row>
    <row r="4086" ht="15.75">
      <c r="N4086" s="672"/>
    </row>
    <row r="4087" ht="15.75">
      <c r="N4087" s="672"/>
    </row>
    <row r="4088" ht="15.75">
      <c r="N4088" s="672"/>
    </row>
    <row r="4089" ht="15.75">
      <c r="N4089" s="672"/>
    </row>
    <row r="4090" ht="15.75">
      <c r="N4090" s="672"/>
    </row>
    <row r="4091" ht="15.75">
      <c r="N4091" s="672"/>
    </row>
    <row r="4092" ht="15.75">
      <c r="N4092" s="672"/>
    </row>
    <row r="4093" ht="15.75">
      <c r="N4093" s="672"/>
    </row>
    <row r="4094" ht="15.75">
      <c r="N4094" s="672"/>
    </row>
    <row r="4095" ht="15.75">
      <c r="N4095" s="672"/>
    </row>
    <row r="4096" ht="15.75">
      <c r="N4096" s="672"/>
    </row>
    <row r="4097" ht="15.75">
      <c r="N4097" s="672"/>
    </row>
    <row r="4098" ht="15.75">
      <c r="N4098" s="672"/>
    </row>
    <row r="4099" ht="15.75">
      <c r="N4099" s="672"/>
    </row>
    <row r="4100" ht="15.75">
      <c r="N4100" s="672"/>
    </row>
    <row r="4101" ht="15.75">
      <c r="N4101" s="672"/>
    </row>
    <row r="4102" ht="15.75">
      <c r="N4102" s="672"/>
    </row>
    <row r="4103" ht="15.75">
      <c r="N4103" s="672"/>
    </row>
    <row r="4104" ht="15.75">
      <c r="N4104" s="672"/>
    </row>
    <row r="4105" ht="15.75">
      <c r="N4105" s="672"/>
    </row>
    <row r="4106" ht="15.75">
      <c r="N4106" s="672"/>
    </row>
    <row r="4107" ht="15.75">
      <c r="N4107" s="672"/>
    </row>
    <row r="4108" ht="15.75">
      <c r="N4108" s="672"/>
    </row>
    <row r="4109" ht="15.75">
      <c r="N4109" s="672"/>
    </row>
    <row r="4110" ht="15.75">
      <c r="N4110" s="672"/>
    </row>
    <row r="4111" ht="15.75">
      <c r="N4111" s="672"/>
    </row>
    <row r="4112" ht="15.75">
      <c r="N4112" s="672"/>
    </row>
    <row r="4113" ht="15.75">
      <c r="N4113" s="672"/>
    </row>
    <row r="4114" ht="15.75">
      <c r="N4114" s="672"/>
    </row>
    <row r="4115" ht="15.75">
      <c r="N4115" s="672"/>
    </row>
    <row r="4116" ht="15.75">
      <c r="N4116" s="672"/>
    </row>
    <row r="4117" ht="15.75">
      <c r="N4117" s="672"/>
    </row>
    <row r="4118" ht="15.75">
      <c r="N4118" s="672"/>
    </row>
    <row r="4119" ht="15.75">
      <c r="N4119" s="672"/>
    </row>
    <row r="4120" ht="15.75">
      <c r="N4120" s="672"/>
    </row>
    <row r="4121" ht="15.75">
      <c r="N4121" s="672"/>
    </row>
    <row r="4122" ht="15.75">
      <c r="N4122" s="672"/>
    </row>
    <row r="4123" ht="15.75">
      <c r="N4123" s="672"/>
    </row>
    <row r="4124" ht="15.75">
      <c r="N4124" s="672"/>
    </row>
    <row r="4125" ht="15.75">
      <c r="N4125" s="672"/>
    </row>
    <row r="4126" ht="15.75">
      <c r="N4126" s="672"/>
    </row>
    <row r="4127" ht="15.75">
      <c r="N4127" s="672"/>
    </row>
    <row r="4128" ht="15.75">
      <c r="N4128" s="672"/>
    </row>
    <row r="4129" ht="15.75">
      <c r="N4129" s="672"/>
    </row>
    <row r="4130" ht="15.75">
      <c r="N4130" s="672"/>
    </row>
    <row r="4131" ht="15.75">
      <c r="N4131" s="672"/>
    </row>
    <row r="4132" ht="15.75">
      <c r="N4132" s="672"/>
    </row>
    <row r="4133" ht="15.75">
      <c r="N4133" s="672"/>
    </row>
    <row r="4134" ht="15.75">
      <c r="N4134" s="672"/>
    </row>
    <row r="4135" ht="15.75">
      <c r="N4135" s="672"/>
    </row>
    <row r="4136" ht="15.75">
      <c r="N4136" s="672"/>
    </row>
    <row r="4137" ht="15.75">
      <c r="N4137" s="672"/>
    </row>
    <row r="4138" ht="15.75">
      <c r="N4138" s="672"/>
    </row>
    <row r="4139" ht="15.75">
      <c r="N4139" s="672"/>
    </row>
    <row r="4140" ht="15.75">
      <c r="N4140" s="672"/>
    </row>
    <row r="4141" ht="15.75">
      <c r="N4141" s="672"/>
    </row>
    <row r="4142" ht="15.75">
      <c r="N4142" s="672"/>
    </row>
    <row r="4143" ht="15.75">
      <c r="N4143" s="672"/>
    </row>
    <row r="4144" ht="15.75">
      <c r="N4144" s="672"/>
    </row>
    <row r="4145" ht="15.75">
      <c r="N4145" s="672"/>
    </row>
    <row r="4146" ht="15.75">
      <c r="N4146" s="672"/>
    </row>
    <row r="4147" ht="15.75">
      <c r="N4147" s="672"/>
    </row>
    <row r="4148" ht="15.75">
      <c r="N4148" s="672"/>
    </row>
    <row r="4149" ht="15.75">
      <c r="N4149" s="672"/>
    </row>
    <row r="4150" ht="15.75">
      <c r="N4150" s="672"/>
    </row>
    <row r="4151" ht="15.75">
      <c r="N4151" s="672"/>
    </row>
    <row r="4152" ht="15.75">
      <c r="N4152" s="672"/>
    </row>
    <row r="4153" ht="15.75">
      <c r="N4153" s="672"/>
    </row>
    <row r="4154" ht="15.75">
      <c r="N4154" s="672"/>
    </row>
    <row r="4155" ht="15.75">
      <c r="N4155" s="672"/>
    </row>
    <row r="4156" ht="15.75">
      <c r="N4156" s="672"/>
    </row>
    <row r="4157" ht="15.75">
      <c r="N4157" s="672"/>
    </row>
    <row r="4158" ht="15.75">
      <c r="N4158" s="672"/>
    </row>
    <row r="4159" ht="15.75">
      <c r="N4159" s="672"/>
    </row>
    <row r="4160" ht="15.75">
      <c r="N4160" s="672"/>
    </row>
    <row r="4161" ht="15.75">
      <c r="N4161" s="672"/>
    </row>
    <row r="4162" ht="15.75">
      <c r="N4162" s="672"/>
    </row>
    <row r="4163" ht="15.75">
      <c r="N4163" s="672"/>
    </row>
    <row r="4164" ht="15.75">
      <c r="N4164" s="672"/>
    </row>
    <row r="4165" ht="15.75">
      <c r="N4165" s="672"/>
    </row>
    <row r="4166" ht="15.75">
      <c r="N4166" s="672"/>
    </row>
    <row r="4167" ht="15.75">
      <c r="N4167" s="672"/>
    </row>
    <row r="4168" ht="15.75">
      <c r="N4168" s="672"/>
    </row>
    <row r="4169" ht="15.75">
      <c r="N4169" s="672"/>
    </row>
    <row r="4170" ht="15.75">
      <c r="N4170" s="672"/>
    </row>
    <row r="4171" ht="15.75">
      <c r="N4171" s="672"/>
    </row>
    <row r="4172" ht="15.75">
      <c r="N4172" s="672"/>
    </row>
    <row r="4173" ht="15.75">
      <c r="N4173" s="672"/>
    </row>
    <row r="4174" ht="15.75">
      <c r="N4174" s="672"/>
    </row>
    <row r="4175" ht="15.75">
      <c r="N4175" s="672"/>
    </row>
    <row r="4176" ht="15.75">
      <c r="N4176" s="672"/>
    </row>
    <row r="4177" ht="15.75">
      <c r="N4177" s="672"/>
    </row>
    <row r="4178" ht="15.75">
      <c r="N4178" s="672"/>
    </row>
    <row r="4179" ht="15.75">
      <c r="N4179" s="672"/>
    </row>
    <row r="4180" ht="15.75">
      <c r="N4180" s="672"/>
    </row>
    <row r="4181" ht="15.75">
      <c r="N4181" s="672"/>
    </row>
    <row r="4182" ht="15.75">
      <c r="N4182" s="672"/>
    </row>
    <row r="4183" ht="15.75">
      <c r="N4183" s="672"/>
    </row>
    <row r="4184" ht="15.75">
      <c r="N4184" s="672"/>
    </row>
    <row r="4185" ht="15.75">
      <c r="N4185" s="672"/>
    </row>
    <row r="4186" ht="15.75">
      <c r="N4186" s="672"/>
    </row>
    <row r="4187" ht="15.75">
      <c r="N4187" s="672"/>
    </row>
    <row r="4188" ht="15.75">
      <c r="N4188" s="672"/>
    </row>
    <row r="4189" ht="15.75">
      <c r="N4189" s="672"/>
    </row>
    <row r="4190" ht="15.75">
      <c r="N4190" s="672"/>
    </row>
    <row r="4191" ht="15.75">
      <c r="N4191" s="672"/>
    </row>
    <row r="4192" ht="15.75">
      <c r="N4192" s="672"/>
    </row>
    <row r="4193" ht="15.75">
      <c r="N4193" s="672"/>
    </row>
    <row r="4194" ht="15.75">
      <c r="N4194" s="672"/>
    </row>
    <row r="4195" ht="15.75">
      <c r="N4195" s="672"/>
    </row>
    <row r="4196" ht="15.75">
      <c r="N4196" s="672"/>
    </row>
    <row r="4197" ht="15.75">
      <c r="N4197" s="672"/>
    </row>
    <row r="4198" ht="15.75">
      <c r="N4198" s="672"/>
    </row>
    <row r="4199" ht="15.75">
      <c r="N4199" s="672"/>
    </row>
    <row r="4200" ht="15.75">
      <c r="N4200" s="672"/>
    </row>
    <row r="4201" ht="15.75">
      <c r="N4201" s="672"/>
    </row>
    <row r="4202" ht="15.75">
      <c r="N4202" s="672"/>
    </row>
    <row r="4203" ht="15.75">
      <c r="N4203" s="672"/>
    </row>
    <row r="4204" ht="15.75">
      <c r="N4204" s="672"/>
    </row>
    <row r="4205" ht="15.75">
      <c r="N4205" s="672"/>
    </row>
    <row r="4206" ht="15.75">
      <c r="N4206" s="672"/>
    </row>
    <row r="4207" ht="15.75">
      <c r="N4207" s="672"/>
    </row>
    <row r="4208" ht="15.75">
      <c r="N4208" s="672"/>
    </row>
    <row r="4209" ht="15.75">
      <c r="N4209" s="672"/>
    </row>
    <row r="4210" ht="15.75">
      <c r="N4210" s="672"/>
    </row>
    <row r="4211" ht="15.75">
      <c r="N4211" s="672"/>
    </row>
    <row r="4212" ht="15.75">
      <c r="N4212" s="672"/>
    </row>
    <row r="4213" ht="15.75">
      <c r="N4213" s="672"/>
    </row>
    <row r="4214" ht="15.75">
      <c r="N4214" s="672"/>
    </row>
    <row r="4215" ht="15.75">
      <c r="N4215" s="672"/>
    </row>
    <row r="4216" ht="15.75">
      <c r="N4216" s="672"/>
    </row>
    <row r="4217" ht="15.75">
      <c r="N4217" s="672"/>
    </row>
    <row r="4218" ht="15.75">
      <c r="N4218" s="672"/>
    </row>
    <row r="4219" ht="15.75">
      <c r="N4219" s="672"/>
    </row>
    <row r="4220" ht="15.75">
      <c r="N4220" s="672"/>
    </row>
    <row r="4221" ht="15.75">
      <c r="N4221" s="672"/>
    </row>
    <row r="4222" ht="15.75">
      <c r="N4222" s="672"/>
    </row>
    <row r="4223" ht="15.75">
      <c r="N4223" s="672"/>
    </row>
    <row r="4224" ht="15.75">
      <c r="N4224" s="672"/>
    </row>
    <row r="4225" ht="15.75">
      <c r="N4225" s="672"/>
    </row>
    <row r="4226" ht="15.75">
      <c r="N4226" s="672"/>
    </row>
    <row r="4227" ht="15.75">
      <c r="N4227" s="672"/>
    </row>
    <row r="4228" ht="15.75">
      <c r="N4228" s="672"/>
    </row>
    <row r="4229" ht="15.75">
      <c r="N4229" s="672"/>
    </row>
    <row r="4230" ht="15.75">
      <c r="N4230" s="672"/>
    </row>
    <row r="4231" ht="15.75">
      <c r="N4231" s="672"/>
    </row>
    <row r="4232" ht="15.75">
      <c r="N4232" s="672"/>
    </row>
    <row r="4233" ht="15.75">
      <c r="N4233" s="672"/>
    </row>
    <row r="4234" ht="15.75">
      <c r="N4234" s="672"/>
    </row>
    <row r="4235" ht="15.75">
      <c r="N4235" s="672"/>
    </row>
    <row r="4236" ht="15.75">
      <c r="N4236" s="672"/>
    </row>
    <row r="4237" ht="15.75">
      <c r="N4237" s="672"/>
    </row>
    <row r="4238" ht="15.75">
      <c r="N4238" s="672"/>
    </row>
    <row r="4239" ht="15.75">
      <c r="N4239" s="672"/>
    </row>
    <row r="4240" ht="15.75">
      <c r="N4240" s="672"/>
    </row>
    <row r="4241" ht="15.75">
      <c r="N4241" s="672"/>
    </row>
    <row r="4242" ht="15.75">
      <c r="N4242" s="672"/>
    </row>
    <row r="4243" ht="15.75">
      <c r="N4243" s="672"/>
    </row>
    <row r="4244" ht="15.75">
      <c r="N4244" s="672"/>
    </row>
    <row r="4245" ht="15.75">
      <c r="N4245" s="672"/>
    </row>
    <row r="4246" ht="15.75">
      <c r="N4246" s="672"/>
    </row>
    <row r="4247" ht="15.75">
      <c r="N4247" s="672"/>
    </row>
    <row r="4248" ht="15.75">
      <c r="N4248" s="672"/>
    </row>
    <row r="4249" ht="15.75">
      <c r="N4249" s="672"/>
    </row>
    <row r="4250" ht="15.75">
      <c r="N4250" s="672"/>
    </row>
    <row r="4251" ht="15.75">
      <c r="N4251" s="672"/>
    </row>
    <row r="4252" ht="15.75">
      <c r="N4252" s="672"/>
    </row>
    <row r="4253" ht="15.75">
      <c r="N4253" s="672"/>
    </row>
    <row r="4254" ht="15.75">
      <c r="N4254" s="672"/>
    </row>
    <row r="4255" ht="15.75">
      <c r="N4255" s="672"/>
    </row>
    <row r="4256" ht="15.75">
      <c r="N4256" s="672"/>
    </row>
    <row r="4257" ht="15.75">
      <c r="N4257" s="672"/>
    </row>
    <row r="4258" ht="15.75">
      <c r="N4258" s="672"/>
    </row>
    <row r="4259" ht="15.75">
      <c r="N4259" s="672"/>
    </row>
    <row r="4260" ht="15.75">
      <c r="N4260" s="672"/>
    </row>
    <row r="4261" ht="15.75">
      <c r="N4261" s="672"/>
    </row>
    <row r="4262" ht="15.75">
      <c r="N4262" s="672"/>
    </row>
    <row r="4263" ht="15.75">
      <c r="N4263" s="672"/>
    </row>
    <row r="4264" ht="15.75">
      <c r="N4264" s="672"/>
    </row>
    <row r="4265" ht="15.75">
      <c r="N4265" s="672"/>
    </row>
    <row r="4266" ht="15.75">
      <c r="N4266" s="672"/>
    </row>
    <row r="4267" ht="15.75">
      <c r="N4267" s="672"/>
    </row>
    <row r="4268" ht="15.75">
      <c r="N4268" s="672"/>
    </row>
    <row r="4269" ht="15.75">
      <c r="N4269" s="672"/>
    </row>
    <row r="4270" ht="15.75">
      <c r="N4270" s="672"/>
    </row>
    <row r="4271" ht="15.75">
      <c r="N4271" s="672"/>
    </row>
    <row r="4272" ht="15.75">
      <c r="N4272" s="672"/>
    </row>
    <row r="4273" ht="15.75">
      <c r="N4273" s="672"/>
    </row>
    <row r="4274" ht="15.75">
      <c r="N4274" s="672"/>
    </row>
    <row r="4275" ht="15.75">
      <c r="N4275" s="672"/>
    </row>
    <row r="4276" ht="15.75">
      <c r="N4276" s="672"/>
    </row>
    <row r="4277" ht="15.75">
      <c r="N4277" s="672"/>
    </row>
    <row r="4278" ht="15.75">
      <c r="N4278" s="672"/>
    </row>
    <row r="4279" ht="15.75">
      <c r="N4279" s="672"/>
    </row>
    <row r="4280" ht="15.75">
      <c r="N4280" s="672"/>
    </row>
    <row r="4281" ht="15.75">
      <c r="N4281" s="672"/>
    </row>
    <row r="4282" ht="15.75">
      <c r="N4282" s="672"/>
    </row>
    <row r="4283" ht="15.75">
      <c r="N4283" s="672"/>
    </row>
    <row r="4284" ht="15.75">
      <c r="N4284" s="672"/>
    </row>
    <row r="4285" ht="15.75">
      <c r="N4285" s="672"/>
    </row>
    <row r="4286" ht="15.75">
      <c r="N4286" s="672"/>
    </row>
    <row r="4287" ht="15.75">
      <c r="N4287" s="672"/>
    </row>
    <row r="4288" ht="15.75">
      <c r="N4288" s="672"/>
    </row>
    <row r="4289" ht="15.75">
      <c r="N4289" s="672"/>
    </row>
    <row r="4290" ht="15.75">
      <c r="N4290" s="672"/>
    </row>
    <row r="4291" ht="15.75">
      <c r="N4291" s="672"/>
    </row>
    <row r="4292" ht="15.75">
      <c r="N4292" s="672"/>
    </row>
    <row r="4293" ht="15.75">
      <c r="N4293" s="672"/>
    </row>
    <row r="4294" ht="15.75">
      <c r="N4294" s="672"/>
    </row>
    <row r="4295" ht="15.75">
      <c r="N4295" s="672"/>
    </row>
    <row r="4296" ht="15.75">
      <c r="N4296" s="672"/>
    </row>
    <row r="4297" ht="15.75">
      <c r="N4297" s="672"/>
    </row>
    <row r="4298" ht="15.75">
      <c r="N4298" s="672"/>
    </row>
    <row r="4299" ht="15.75">
      <c r="N4299" s="672"/>
    </row>
    <row r="4300" ht="15.75">
      <c r="N4300" s="672"/>
    </row>
    <row r="4301" ht="15.75">
      <c r="N4301" s="672"/>
    </row>
    <row r="4302" ht="15.75">
      <c r="N4302" s="672"/>
    </row>
    <row r="4303" ht="15.75">
      <c r="N4303" s="672"/>
    </row>
    <row r="4304" ht="15.75">
      <c r="N4304" s="672"/>
    </row>
    <row r="4305" ht="15.75">
      <c r="N4305" s="672"/>
    </row>
    <row r="4306" ht="15.75">
      <c r="N4306" s="672"/>
    </row>
    <row r="4307" ht="15.75">
      <c r="N4307" s="672"/>
    </row>
    <row r="4308" ht="15.75">
      <c r="N4308" s="672"/>
    </row>
    <row r="4309" ht="15.75">
      <c r="N4309" s="672"/>
    </row>
    <row r="4310" ht="15.75">
      <c r="N4310" s="672"/>
    </row>
    <row r="4311" ht="15.75">
      <c r="N4311" s="672"/>
    </row>
    <row r="4312" ht="15.75">
      <c r="N4312" s="672"/>
    </row>
    <row r="4313" ht="15.75">
      <c r="N4313" s="672"/>
    </row>
    <row r="4314" ht="15.75">
      <c r="N4314" s="672"/>
    </row>
    <row r="4315" ht="15.75">
      <c r="N4315" s="672"/>
    </row>
  </sheetData>
  <sheetProtection/>
  <mergeCells count="21">
    <mergeCell ref="A5:M5"/>
    <mergeCell ref="G8:G10"/>
    <mergeCell ref="C7:E7"/>
    <mergeCell ref="F7:L7"/>
    <mergeCell ref="C8:C10"/>
    <mergeCell ref="E9:E10"/>
    <mergeCell ref="K194:L194"/>
    <mergeCell ref="D8:E8"/>
    <mergeCell ref="H8:I8"/>
    <mergeCell ref="B194:D194"/>
    <mergeCell ref="I9:I10"/>
    <mergeCell ref="B8:B10"/>
    <mergeCell ref="F8:F10"/>
    <mergeCell ref="A4:M4"/>
    <mergeCell ref="A8:A10"/>
    <mergeCell ref="K8:L8"/>
    <mergeCell ref="K9:K10"/>
    <mergeCell ref="M7:M10"/>
    <mergeCell ref="J8:J10"/>
    <mergeCell ref="D9:D10"/>
    <mergeCell ref="H9:H10"/>
  </mergeCells>
  <printOptions horizontalCentered="1"/>
  <pageMargins left="0.7874015748031497" right="0.3937007874015748" top="0.3937007874015748" bottom="0.3937007874015748" header="0.2755905511811024" footer="0.11811023622047245"/>
  <pageSetup horizontalDpi="600" verticalDpi="600" orientation="landscape" paperSize="9" scale="54" r:id="rId2"/>
  <headerFooter differentFirst="1" alignWithMargins="0">
    <oddHeader>&amp;C&amp;P</oddHeader>
  </headerFooter>
  <rowBreaks count="5" manualBreakCount="5">
    <brk id="26" max="12" man="1"/>
    <brk id="41" max="12" man="1"/>
    <brk id="112" max="12" man="1"/>
    <brk id="134" max="12" man="1"/>
    <brk id="164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3"/>
  <sheetViews>
    <sheetView showZeros="0" view="pageBreakPreview" zoomScale="75" zoomScaleSheetLayoutView="75" zoomScalePageLayoutView="0" workbookViewId="0" topLeftCell="A1">
      <selection activeCell="M3" sqref="M3"/>
    </sheetView>
  </sheetViews>
  <sheetFormatPr defaultColWidth="9.00390625" defaultRowHeight="12.75"/>
  <cols>
    <col min="1" max="1" width="11.375" style="558" customWidth="1"/>
    <col min="2" max="2" width="12.125" style="562" customWidth="1"/>
    <col min="3" max="3" width="41.25390625" style="561" customWidth="1"/>
    <col min="4" max="4" width="18.375" style="559" customWidth="1"/>
    <col min="5" max="5" width="16.125" style="558" customWidth="1"/>
    <col min="6" max="6" width="15.00390625" style="558" customWidth="1"/>
    <col min="7" max="7" width="18.875" style="560" customWidth="1"/>
    <col min="8" max="8" width="19.75390625" style="558" customWidth="1"/>
    <col min="9" max="9" width="15.00390625" style="558" customWidth="1"/>
    <col min="10" max="10" width="12.25390625" style="558" customWidth="1"/>
    <col min="11" max="11" width="19.625" style="558" customWidth="1"/>
    <col min="12" max="12" width="18.375" style="558" customWidth="1"/>
    <col min="13" max="13" width="17.125" style="558" customWidth="1"/>
    <col min="14" max="14" width="22.25390625" style="559" customWidth="1"/>
    <col min="15" max="16384" width="9.125" style="558" customWidth="1"/>
  </cols>
  <sheetData>
    <row r="1" ht="12.75">
      <c r="M1" s="669" t="s">
        <v>818</v>
      </c>
    </row>
    <row r="2" spans="2:13" ht="12.75">
      <c r="B2" s="671"/>
      <c r="C2" s="665"/>
      <c r="D2" s="670"/>
      <c r="M2" s="558" t="s">
        <v>551</v>
      </c>
    </row>
    <row r="3" spans="2:14" ht="12.75">
      <c r="B3" s="671"/>
      <c r="C3" s="665"/>
      <c r="D3" s="670"/>
      <c r="M3" s="669" t="s">
        <v>817</v>
      </c>
      <c r="N3" s="668"/>
    </row>
    <row r="4" spans="2:14" ht="20.25">
      <c r="B4" s="667" t="s">
        <v>816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</row>
    <row r="5" spans="2:14" ht="20.25">
      <c r="B5" s="667" t="s">
        <v>815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</row>
    <row r="6" spans="2:14" ht="12.75">
      <c r="B6" s="666"/>
      <c r="C6" s="665"/>
      <c r="N6" s="664" t="s">
        <v>591</v>
      </c>
    </row>
    <row r="7" spans="1:14" ht="55.5" customHeight="1">
      <c r="A7" s="659" t="s">
        <v>814</v>
      </c>
      <c r="B7" s="663" t="s">
        <v>813</v>
      </c>
      <c r="C7" s="662" t="s">
        <v>10</v>
      </c>
      <c r="D7" s="661" t="s">
        <v>812</v>
      </c>
      <c r="E7" s="661"/>
      <c r="F7" s="661"/>
      <c r="G7" s="661" t="s">
        <v>811</v>
      </c>
      <c r="H7" s="661"/>
      <c r="I7" s="661"/>
      <c r="J7" s="661"/>
      <c r="K7" s="661"/>
      <c r="L7" s="661"/>
      <c r="M7" s="661"/>
      <c r="N7" s="654" t="s">
        <v>534</v>
      </c>
    </row>
    <row r="8" spans="1:14" ht="14.25" customHeight="1">
      <c r="A8" s="659"/>
      <c r="B8" s="659" t="s">
        <v>810</v>
      </c>
      <c r="C8" s="658" t="s">
        <v>809</v>
      </c>
      <c r="D8" s="657" t="s">
        <v>0</v>
      </c>
      <c r="E8" s="657" t="s">
        <v>803</v>
      </c>
      <c r="F8" s="657"/>
      <c r="G8" s="657" t="s">
        <v>0</v>
      </c>
      <c r="H8" s="656" t="s">
        <v>808</v>
      </c>
      <c r="I8" s="657" t="s">
        <v>803</v>
      </c>
      <c r="J8" s="657"/>
      <c r="K8" s="656" t="s">
        <v>807</v>
      </c>
      <c r="L8" s="656" t="s">
        <v>803</v>
      </c>
      <c r="M8" s="656"/>
      <c r="N8" s="654"/>
    </row>
    <row r="9" spans="1:14" ht="13.5" customHeight="1">
      <c r="A9" s="659"/>
      <c r="B9" s="659"/>
      <c r="C9" s="658"/>
      <c r="D9" s="657"/>
      <c r="E9" s="656" t="s">
        <v>806</v>
      </c>
      <c r="F9" s="656" t="s">
        <v>805</v>
      </c>
      <c r="G9" s="657"/>
      <c r="H9" s="656"/>
      <c r="I9" s="656" t="s">
        <v>806</v>
      </c>
      <c r="J9" s="656" t="s">
        <v>805</v>
      </c>
      <c r="K9" s="656"/>
      <c r="L9" s="656" t="s">
        <v>804</v>
      </c>
      <c r="M9" s="660" t="s">
        <v>803</v>
      </c>
      <c r="N9" s="654"/>
    </row>
    <row r="10" spans="1:14" ht="162.75" customHeight="1">
      <c r="A10" s="659"/>
      <c r="B10" s="659"/>
      <c r="C10" s="658"/>
      <c r="D10" s="657"/>
      <c r="E10" s="656"/>
      <c r="F10" s="656"/>
      <c r="G10" s="657"/>
      <c r="H10" s="656"/>
      <c r="I10" s="656"/>
      <c r="J10" s="656"/>
      <c r="K10" s="656"/>
      <c r="L10" s="656"/>
      <c r="M10" s="655" t="s">
        <v>802</v>
      </c>
      <c r="N10" s="654"/>
    </row>
    <row r="11" spans="1:14" ht="12.75">
      <c r="A11" s="653" t="s">
        <v>801</v>
      </c>
      <c r="B11" s="653" t="s">
        <v>800</v>
      </c>
      <c r="C11" s="652">
        <v>3</v>
      </c>
      <c r="D11" s="651">
        <v>4</v>
      </c>
      <c r="E11" s="651">
        <v>5</v>
      </c>
      <c r="F11" s="651">
        <v>6</v>
      </c>
      <c r="G11" s="651">
        <v>7</v>
      </c>
      <c r="H11" s="651">
        <v>8</v>
      </c>
      <c r="I11" s="651">
        <v>9</v>
      </c>
      <c r="J11" s="651">
        <v>10</v>
      </c>
      <c r="K11" s="651">
        <v>11</v>
      </c>
      <c r="L11" s="651">
        <v>12</v>
      </c>
      <c r="M11" s="651">
        <v>13</v>
      </c>
      <c r="N11" s="651" t="s">
        <v>799</v>
      </c>
    </row>
    <row r="12" spans="1:14" s="582" customFormat="1" ht="16.5">
      <c r="A12" s="594" t="s">
        <v>798</v>
      </c>
      <c r="B12" s="594" t="s">
        <v>26</v>
      </c>
      <c r="C12" s="611" t="s">
        <v>27</v>
      </c>
      <c r="D12" s="592">
        <f>D13</f>
        <v>0</v>
      </c>
      <c r="E12" s="592">
        <f>E13</f>
        <v>0</v>
      </c>
      <c r="F12" s="592">
        <f>F13</f>
        <v>0</v>
      </c>
      <c r="G12" s="592">
        <f>G13</f>
        <v>458980.44</v>
      </c>
      <c r="H12" s="592">
        <f>H13</f>
        <v>0</v>
      </c>
      <c r="I12" s="592">
        <f>I13</f>
        <v>0</v>
      </c>
      <c r="J12" s="592">
        <f>J13</f>
        <v>0</v>
      </c>
      <c r="K12" s="592">
        <f>K13</f>
        <v>458980.44</v>
      </c>
      <c r="L12" s="592">
        <f>L13</f>
        <v>458980.44</v>
      </c>
      <c r="M12" s="592">
        <f>M13</f>
        <v>0</v>
      </c>
      <c r="N12" s="592">
        <f>D12+G12</f>
        <v>458980.44</v>
      </c>
    </row>
    <row r="13" spans="1:14" s="582" customFormat="1" ht="16.5">
      <c r="A13" s="594" t="s">
        <v>797</v>
      </c>
      <c r="B13" s="594" t="s">
        <v>26</v>
      </c>
      <c r="C13" s="611" t="s">
        <v>27</v>
      </c>
      <c r="D13" s="592">
        <f>D14</f>
        <v>0</v>
      </c>
      <c r="E13" s="592">
        <f>E14</f>
        <v>0</v>
      </c>
      <c r="F13" s="592">
        <f>F14</f>
        <v>0</v>
      </c>
      <c r="G13" s="592">
        <f>G14</f>
        <v>458980.44</v>
      </c>
      <c r="H13" s="592">
        <f>H14</f>
        <v>0</v>
      </c>
      <c r="I13" s="592">
        <f>I14</f>
        <v>0</v>
      </c>
      <c r="J13" s="592">
        <f>J14</f>
        <v>0</v>
      </c>
      <c r="K13" s="592">
        <f>K14</f>
        <v>458980.44</v>
      </c>
      <c r="L13" s="592">
        <f>L14</f>
        <v>458980.44</v>
      </c>
      <c r="M13" s="592">
        <f>M14</f>
        <v>0</v>
      </c>
      <c r="N13" s="592">
        <f>N12</f>
        <v>458980.44</v>
      </c>
    </row>
    <row r="14" spans="1:14" s="650" customFormat="1" ht="31.5">
      <c r="A14" s="591" t="s">
        <v>796</v>
      </c>
      <c r="B14" s="591" t="s">
        <v>632</v>
      </c>
      <c r="C14" s="624" t="s">
        <v>631</v>
      </c>
      <c r="D14" s="605"/>
      <c r="E14" s="607"/>
      <c r="F14" s="607"/>
      <c r="G14" s="587">
        <f>H14+K14</f>
        <v>458980.44</v>
      </c>
      <c r="H14" s="607"/>
      <c r="I14" s="607"/>
      <c r="J14" s="607"/>
      <c r="K14" s="607">
        <v>458980.44</v>
      </c>
      <c r="L14" s="607">
        <v>458980.44</v>
      </c>
      <c r="M14" s="607"/>
      <c r="N14" s="587">
        <f>G14+D14</f>
        <v>458980.44</v>
      </c>
    </row>
    <row r="15" spans="1:14" s="650" customFormat="1" ht="23.25" customHeight="1">
      <c r="A15" s="594" t="s">
        <v>795</v>
      </c>
      <c r="B15" s="594" t="s">
        <v>57</v>
      </c>
      <c r="C15" s="611" t="s">
        <v>58</v>
      </c>
      <c r="D15" s="592">
        <f>D16</f>
        <v>10270</v>
      </c>
      <c r="E15" s="592">
        <f>E16</f>
        <v>0</v>
      </c>
      <c r="F15" s="592">
        <f>F16</f>
        <v>0</v>
      </c>
      <c r="G15" s="592">
        <f>G16</f>
        <v>2875</v>
      </c>
      <c r="H15" s="592">
        <f>H16</f>
        <v>0</v>
      </c>
      <c r="I15" s="592">
        <f>I16</f>
        <v>0</v>
      </c>
      <c r="J15" s="592">
        <f>J16</f>
        <v>0</v>
      </c>
      <c r="K15" s="592">
        <f>K16</f>
        <v>2875</v>
      </c>
      <c r="L15" s="592">
        <f>L16</f>
        <v>2875</v>
      </c>
      <c r="M15" s="592">
        <f>M16</f>
        <v>0</v>
      </c>
      <c r="N15" s="592">
        <f>D15+G15</f>
        <v>13145</v>
      </c>
    </row>
    <row r="16" spans="1:14" s="650" customFormat="1" ht="19.5" customHeight="1">
      <c r="A16" s="594" t="s">
        <v>794</v>
      </c>
      <c r="B16" s="594" t="s">
        <v>57</v>
      </c>
      <c r="C16" s="611" t="s">
        <v>58</v>
      </c>
      <c r="D16" s="592">
        <f>D17</f>
        <v>10270</v>
      </c>
      <c r="E16" s="592">
        <f>E17</f>
        <v>0</v>
      </c>
      <c r="F16" s="592">
        <f>F17</f>
        <v>0</v>
      </c>
      <c r="G16" s="592">
        <f>G17</f>
        <v>2875</v>
      </c>
      <c r="H16" s="592">
        <f>H17</f>
        <v>0</v>
      </c>
      <c r="I16" s="592">
        <f>I17</f>
        <v>0</v>
      </c>
      <c r="J16" s="592">
        <f>J17</f>
        <v>0</v>
      </c>
      <c r="K16" s="592">
        <f>K17</f>
        <v>2875</v>
      </c>
      <c r="L16" s="592">
        <f>L17</f>
        <v>2875</v>
      </c>
      <c r="M16" s="592">
        <f>M17</f>
        <v>0</v>
      </c>
      <c r="N16" s="592">
        <f>D16+G16</f>
        <v>13145</v>
      </c>
    </row>
    <row r="17" spans="1:14" s="650" customFormat="1" ht="94.5">
      <c r="A17" s="591" t="s">
        <v>793</v>
      </c>
      <c r="B17" s="596" t="s">
        <v>485</v>
      </c>
      <c r="C17" s="624" t="s">
        <v>484</v>
      </c>
      <c r="D17" s="605">
        <v>10270</v>
      </c>
      <c r="E17" s="607"/>
      <c r="F17" s="607"/>
      <c r="G17" s="587">
        <f>H17+K17</f>
        <v>2875</v>
      </c>
      <c r="H17" s="607"/>
      <c r="I17" s="607"/>
      <c r="J17" s="607"/>
      <c r="K17" s="607">
        <v>2875</v>
      </c>
      <c r="L17" s="607">
        <v>2875</v>
      </c>
      <c r="M17" s="607"/>
      <c r="N17" s="587">
        <f>SUM(G17,D17)</f>
        <v>13145</v>
      </c>
    </row>
    <row r="18" spans="1:14" s="649" customFormat="1" ht="47.25">
      <c r="A18" s="594" t="s">
        <v>792</v>
      </c>
      <c r="B18" s="594" t="s">
        <v>44</v>
      </c>
      <c r="C18" s="593" t="s">
        <v>790</v>
      </c>
      <c r="D18" s="592">
        <f>D19</f>
        <v>396740.58999999997</v>
      </c>
      <c r="E18" s="592">
        <f>E22</f>
        <v>0</v>
      </c>
      <c r="F18" s="592">
        <f>F22</f>
        <v>0</v>
      </c>
      <c r="G18" s="592">
        <f>G22</f>
        <v>0</v>
      </c>
      <c r="H18" s="592">
        <f>H22</f>
        <v>0</v>
      </c>
      <c r="I18" s="592">
        <f>I22</f>
        <v>0</v>
      </c>
      <c r="J18" s="592">
        <f>J22</f>
        <v>0</v>
      </c>
      <c r="K18" s="592">
        <f>K22</f>
        <v>0</v>
      </c>
      <c r="L18" s="592">
        <f>L22</f>
        <v>0</v>
      </c>
      <c r="M18" s="592">
        <f>M22</f>
        <v>0</v>
      </c>
      <c r="N18" s="592">
        <f>D18+G18</f>
        <v>396740.58999999997</v>
      </c>
    </row>
    <row r="19" spans="1:14" s="649" customFormat="1" ht="47.25">
      <c r="A19" s="594" t="s">
        <v>791</v>
      </c>
      <c r="B19" s="594" t="s">
        <v>44</v>
      </c>
      <c r="C19" s="593" t="s">
        <v>790</v>
      </c>
      <c r="D19" s="592">
        <f>D20+D22</f>
        <v>396740.58999999997</v>
      </c>
      <c r="E19" s="592">
        <f>E20+E22</f>
        <v>0</v>
      </c>
      <c r="F19" s="592">
        <f>F20+F22</f>
        <v>0</v>
      </c>
      <c r="G19" s="592">
        <f>G20+G22</f>
        <v>0</v>
      </c>
      <c r="H19" s="592">
        <f>H20+H22</f>
        <v>0</v>
      </c>
      <c r="I19" s="592">
        <f>I20+I22</f>
        <v>0</v>
      </c>
      <c r="J19" s="592">
        <f>J20+J22</f>
        <v>0</v>
      </c>
      <c r="K19" s="592">
        <f>K20+K22</f>
        <v>0</v>
      </c>
      <c r="L19" s="592">
        <f>L20+L22</f>
        <v>0</v>
      </c>
      <c r="M19" s="592">
        <f>M20+M22</f>
        <v>0</v>
      </c>
      <c r="N19" s="592">
        <f>D19+G19</f>
        <v>396740.58999999997</v>
      </c>
    </row>
    <row r="20" spans="1:14" s="649" customFormat="1" ht="16.5">
      <c r="A20" s="591" t="s">
        <v>789</v>
      </c>
      <c r="B20" s="591"/>
      <c r="C20" s="648" t="s">
        <v>788</v>
      </c>
      <c r="D20" s="588">
        <f>D21</f>
        <v>300000</v>
      </c>
      <c r="E20" s="588">
        <f>E21</f>
        <v>0</v>
      </c>
      <c r="F20" s="588">
        <f>F21</f>
        <v>0</v>
      </c>
      <c r="G20" s="588">
        <f>G21</f>
        <v>0</v>
      </c>
      <c r="H20" s="588">
        <f>H21</f>
        <v>0</v>
      </c>
      <c r="I20" s="588">
        <f>I21</f>
        <v>0</v>
      </c>
      <c r="J20" s="588">
        <f>J21</f>
        <v>0</v>
      </c>
      <c r="K20" s="588">
        <f>K21</f>
        <v>0</v>
      </c>
      <c r="L20" s="588">
        <f>L21</f>
        <v>0</v>
      </c>
      <c r="M20" s="588">
        <f>M21</f>
        <v>0</v>
      </c>
      <c r="N20" s="587">
        <f>SUM(G20,D20)</f>
        <v>300000</v>
      </c>
    </row>
    <row r="21" spans="1:14" s="649" customFormat="1" ht="16.5">
      <c r="A21" s="591" t="s">
        <v>787</v>
      </c>
      <c r="B21" s="591" t="s">
        <v>45</v>
      </c>
      <c r="C21" s="648" t="s">
        <v>786</v>
      </c>
      <c r="D21" s="588">
        <v>300000</v>
      </c>
      <c r="E21" s="588"/>
      <c r="F21" s="588"/>
      <c r="G21" s="588"/>
      <c r="H21" s="588"/>
      <c r="I21" s="588"/>
      <c r="J21" s="588"/>
      <c r="K21" s="588"/>
      <c r="L21" s="588"/>
      <c r="M21" s="588"/>
      <c r="N21" s="587">
        <f>SUM(G21,D21)</f>
        <v>300000</v>
      </c>
    </row>
    <row r="22" spans="1:14" ht="54" customHeight="1">
      <c r="A22" s="591" t="s">
        <v>785</v>
      </c>
      <c r="B22" s="591" t="s">
        <v>60</v>
      </c>
      <c r="C22" s="648" t="s">
        <v>784</v>
      </c>
      <c r="D22" s="647">
        <v>96740.59</v>
      </c>
      <c r="E22" s="606"/>
      <c r="F22" s="606"/>
      <c r="G22" s="621"/>
      <c r="H22" s="589"/>
      <c r="I22" s="606"/>
      <c r="J22" s="606"/>
      <c r="K22" s="606"/>
      <c r="L22" s="606"/>
      <c r="M22" s="606"/>
      <c r="N22" s="587">
        <f>SUM(G22,D22)</f>
        <v>96740.59</v>
      </c>
    </row>
    <row r="23" spans="1:14" ht="54" customHeight="1">
      <c r="A23" s="594" t="s">
        <v>783</v>
      </c>
      <c r="B23" s="594" t="s">
        <v>42</v>
      </c>
      <c r="C23" s="593" t="s">
        <v>59</v>
      </c>
      <c r="D23" s="592">
        <f>D24</f>
        <v>9345.24</v>
      </c>
      <c r="E23" s="592">
        <f>E24</f>
        <v>0</v>
      </c>
      <c r="F23" s="592">
        <f>F24</f>
        <v>0</v>
      </c>
      <c r="G23" s="592">
        <f>G24</f>
        <v>0</v>
      </c>
      <c r="H23" s="592">
        <f>H24</f>
        <v>0</v>
      </c>
      <c r="I23" s="592">
        <f>I24</f>
        <v>0</v>
      </c>
      <c r="J23" s="592">
        <f>J24</f>
        <v>0</v>
      </c>
      <c r="K23" s="592">
        <f>K24</f>
        <v>0</v>
      </c>
      <c r="L23" s="592">
        <f>L24</f>
        <v>0</v>
      </c>
      <c r="M23" s="592">
        <f>M24</f>
        <v>0</v>
      </c>
      <c r="N23" s="592">
        <f>D23+G23</f>
        <v>9345.24</v>
      </c>
    </row>
    <row r="24" spans="1:14" ht="54" customHeight="1">
      <c r="A24" s="594" t="s">
        <v>782</v>
      </c>
      <c r="B24" s="594" t="s">
        <v>42</v>
      </c>
      <c r="C24" s="593" t="s">
        <v>59</v>
      </c>
      <c r="D24" s="592">
        <f>D25</f>
        <v>9345.24</v>
      </c>
      <c r="E24" s="592"/>
      <c r="F24" s="592"/>
      <c r="G24" s="592"/>
      <c r="H24" s="592"/>
      <c r="I24" s="592"/>
      <c r="J24" s="592"/>
      <c r="K24" s="592"/>
      <c r="L24" s="592"/>
      <c r="M24" s="592"/>
      <c r="N24" s="592">
        <f>D24+G24</f>
        <v>9345.24</v>
      </c>
    </row>
    <row r="25" spans="1:14" ht="48.75" customHeight="1">
      <c r="A25" s="591" t="s">
        <v>781</v>
      </c>
      <c r="B25" s="591" t="s">
        <v>780</v>
      </c>
      <c r="C25" s="614" t="s">
        <v>779</v>
      </c>
      <c r="D25" s="647">
        <v>9345.24</v>
      </c>
      <c r="E25" s="606"/>
      <c r="F25" s="606"/>
      <c r="G25" s="621"/>
      <c r="H25" s="589"/>
      <c r="I25" s="606"/>
      <c r="J25" s="606"/>
      <c r="K25" s="606"/>
      <c r="L25" s="606"/>
      <c r="M25" s="606"/>
      <c r="N25" s="621">
        <f>SUM(G25,D25)</f>
        <v>9345.24</v>
      </c>
    </row>
    <row r="26" spans="1:14" s="582" customFormat="1" ht="31.5">
      <c r="A26" s="594" t="s">
        <v>778</v>
      </c>
      <c r="B26" s="594" t="s">
        <v>12</v>
      </c>
      <c r="C26" s="630" t="s">
        <v>13</v>
      </c>
      <c r="D26" s="592">
        <f>D27</f>
        <v>4915601.42</v>
      </c>
      <c r="E26" s="592">
        <f>E27</f>
        <v>0</v>
      </c>
      <c r="F26" s="592">
        <f>F27</f>
        <v>0</v>
      </c>
      <c r="G26" s="592">
        <f>G27</f>
        <v>4677250.13</v>
      </c>
      <c r="H26" s="592">
        <f>H27</f>
        <v>0</v>
      </c>
      <c r="I26" s="592">
        <f>I27</f>
        <v>0</v>
      </c>
      <c r="J26" s="592">
        <f>J27</f>
        <v>0</v>
      </c>
      <c r="K26" s="592">
        <f>K27</f>
        <v>4677250.13</v>
      </c>
      <c r="L26" s="592">
        <f>L27</f>
        <v>4677250.13</v>
      </c>
      <c r="M26" s="592">
        <f>M27</f>
        <v>0</v>
      </c>
      <c r="N26" s="592">
        <f>D26+G26</f>
        <v>9592851.55</v>
      </c>
    </row>
    <row r="27" spans="1:14" s="582" customFormat="1" ht="31.5">
      <c r="A27" s="594">
        <v>1010000</v>
      </c>
      <c r="B27" s="594" t="s">
        <v>12</v>
      </c>
      <c r="C27" s="630" t="s">
        <v>13</v>
      </c>
      <c r="D27" s="592">
        <f>D28+D29+D30+D31+D32+D33+D34+D35+D36+D37+D38+D39+D40+D43</f>
        <v>4915601.42</v>
      </c>
      <c r="E27" s="592">
        <f>E28+E29+E30+E31+E32+E33+E34+E35+E36+E37+E38+E39+E40+E43</f>
        <v>0</v>
      </c>
      <c r="F27" s="592">
        <f>F28+F29+F30+F31+F32+F33+F34+F35+F36+F37+F38+F39+F40+F43</f>
        <v>0</v>
      </c>
      <c r="G27" s="592">
        <f>G28+G29+G30+G31+G32+G33+G34+G35+G36+G37+G38+G39+G40+G43</f>
        <v>4677250.13</v>
      </c>
      <c r="H27" s="592">
        <f>H28+H29+H30+H31+H32+H33+H34+H35+H36+H37+H38+H39+H40+H43</f>
        <v>0</v>
      </c>
      <c r="I27" s="592">
        <f>I28+I29+I30+I31+I32+I33+I34+I35+I36+I37+I38+I39+I40+I43</f>
        <v>0</v>
      </c>
      <c r="J27" s="592">
        <f>J28+J29+J30+J31+J32+J33+J34+J35+J36+J37+J38+J39+J40+J43</f>
        <v>0</v>
      </c>
      <c r="K27" s="592">
        <f>K28+K29+K30+K31+K32+K33+K34+K35+K36+K37+K38+K39+K40+K43</f>
        <v>4677250.13</v>
      </c>
      <c r="L27" s="592">
        <f>L28+L29+L30+L31+L32+L33+L34+L35+L36+L37+L38+L39+L40+L43</f>
        <v>4677250.13</v>
      </c>
      <c r="M27" s="592">
        <f>M28+M29+M30+M31+M32+M33+M34+M35+M36+M37+M38+M39+M40+M43</f>
        <v>0</v>
      </c>
      <c r="N27" s="592">
        <f>D27+G27</f>
        <v>9592851.55</v>
      </c>
    </row>
    <row r="28" spans="1:14" ht="63">
      <c r="A28" s="591" t="s">
        <v>777</v>
      </c>
      <c r="B28" s="591" t="s">
        <v>483</v>
      </c>
      <c r="C28" s="644" t="s">
        <v>776</v>
      </c>
      <c r="D28" s="628">
        <v>559416.36</v>
      </c>
      <c r="E28" s="628"/>
      <c r="F28" s="628"/>
      <c r="G28" s="621">
        <f>H28+K28</f>
        <v>213904.66</v>
      </c>
      <c r="H28" s="628"/>
      <c r="I28" s="628"/>
      <c r="J28" s="628"/>
      <c r="K28" s="628">
        <v>213904.66</v>
      </c>
      <c r="L28" s="628">
        <v>213904.66</v>
      </c>
      <c r="M28" s="628"/>
      <c r="N28" s="621">
        <f>SUM(G28,D28)</f>
        <v>773321.02</v>
      </c>
    </row>
    <row r="29" spans="1:14" ht="63">
      <c r="A29" s="591" t="s">
        <v>775</v>
      </c>
      <c r="B29" s="591" t="s">
        <v>774</v>
      </c>
      <c r="C29" s="644" t="s">
        <v>773</v>
      </c>
      <c r="D29" s="628">
        <v>207157.36</v>
      </c>
      <c r="E29" s="628"/>
      <c r="F29" s="628"/>
      <c r="G29" s="621">
        <f>H29+K29</f>
        <v>0</v>
      </c>
      <c r="H29" s="628"/>
      <c r="I29" s="628"/>
      <c r="J29" s="628"/>
      <c r="K29" s="628"/>
      <c r="L29" s="628"/>
      <c r="M29" s="628"/>
      <c r="N29" s="621">
        <f>SUM(G29,D29)</f>
        <v>207157.36</v>
      </c>
    </row>
    <row r="30" spans="1:14" ht="94.5">
      <c r="A30" s="591" t="s">
        <v>772</v>
      </c>
      <c r="B30" s="591" t="s">
        <v>481</v>
      </c>
      <c r="C30" s="644" t="s">
        <v>771</v>
      </c>
      <c r="D30" s="621">
        <v>1413075.32</v>
      </c>
      <c r="E30" s="628"/>
      <c r="F30" s="628"/>
      <c r="G30" s="621">
        <f>H30+K30</f>
        <v>512660.26</v>
      </c>
      <c r="H30" s="628"/>
      <c r="I30" s="628"/>
      <c r="J30" s="628"/>
      <c r="K30" s="628">
        <v>512660.26</v>
      </c>
      <c r="L30" s="628">
        <v>512660.26</v>
      </c>
      <c r="M30" s="628"/>
      <c r="N30" s="621">
        <f>SUM(G30,D30)</f>
        <v>1925735.58</v>
      </c>
    </row>
    <row r="31" spans="1:14" ht="141.75">
      <c r="A31" s="591" t="s">
        <v>770</v>
      </c>
      <c r="B31" s="591" t="s">
        <v>479</v>
      </c>
      <c r="C31" s="646" t="s">
        <v>769</v>
      </c>
      <c r="D31" s="621">
        <v>599292.84</v>
      </c>
      <c r="E31" s="628"/>
      <c r="F31" s="628"/>
      <c r="G31" s="621">
        <f>H31+K31</f>
        <v>28280</v>
      </c>
      <c r="H31" s="628"/>
      <c r="I31" s="628"/>
      <c r="J31" s="628"/>
      <c r="K31" s="628">
        <v>28280</v>
      </c>
      <c r="L31" s="628">
        <v>28280</v>
      </c>
      <c r="M31" s="628"/>
      <c r="N31" s="621">
        <f>SUM(G31,D31)</f>
        <v>627572.84</v>
      </c>
    </row>
    <row r="32" spans="1:14" ht="47.25">
      <c r="A32" s="591" t="s">
        <v>768</v>
      </c>
      <c r="B32" s="591" t="s">
        <v>477</v>
      </c>
      <c r="C32" s="644" t="s">
        <v>767</v>
      </c>
      <c r="D32" s="621">
        <v>369234.4</v>
      </c>
      <c r="E32" s="628"/>
      <c r="F32" s="628"/>
      <c r="G32" s="621">
        <f>H32+K32</f>
        <v>39036.5</v>
      </c>
      <c r="H32" s="628"/>
      <c r="I32" s="628"/>
      <c r="J32" s="628"/>
      <c r="K32" s="628">
        <v>39036.5</v>
      </c>
      <c r="L32" s="628">
        <v>39036.5</v>
      </c>
      <c r="M32" s="628"/>
      <c r="N32" s="621">
        <f>SUM(G32,D32)</f>
        <v>408270.9</v>
      </c>
    </row>
    <row r="33" spans="1:14" ht="31.5">
      <c r="A33" s="591" t="s">
        <v>766</v>
      </c>
      <c r="B33" s="591" t="s">
        <v>475</v>
      </c>
      <c r="C33" s="644" t="s">
        <v>765</v>
      </c>
      <c r="D33" s="621">
        <v>873071.25</v>
      </c>
      <c r="E33" s="628"/>
      <c r="F33" s="628"/>
      <c r="G33" s="621">
        <f>H33+K33</f>
        <v>3584046.55</v>
      </c>
      <c r="H33" s="628"/>
      <c r="I33" s="628"/>
      <c r="J33" s="628"/>
      <c r="K33" s="628">
        <v>3584046.55</v>
      </c>
      <c r="L33" s="628">
        <v>3584046.55</v>
      </c>
      <c r="M33" s="628"/>
      <c r="N33" s="621">
        <f>SUM(G33,D33)</f>
        <v>4457117.8</v>
      </c>
    </row>
    <row r="34" spans="1:14" ht="78.75">
      <c r="A34" s="591" t="s">
        <v>764</v>
      </c>
      <c r="B34" s="591" t="s">
        <v>473</v>
      </c>
      <c r="C34" s="644" t="s">
        <v>721</v>
      </c>
      <c r="D34" s="621">
        <v>227898.49</v>
      </c>
      <c r="E34" s="628"/>
      <c r="F34" s="628"/>
      <c r="G34" s="621">
        <f>H34+K34</f>
        <v>23012</v>
      </c>
      <c r="H34" s="628"/>
      <c r="I34" s="628"/>
      <c r="J34" s="628"/>
      <c r="K34" s="628">
        <v>23012</v>
      </c>
      <c r="L34" s="628">
        <v>23012</v>
      </c>
      <c r="M34" s="628"/>
      <c r="N34" s="621">
        <f>SUM(G34,D34)</f>
        <v>250910.49</v>
      </c>
    </row>
    <row r="35" spans="1:14" ht="47.25">
      <c r="A35" s="591" t="s">
        <v>763</v>
      </c>
      <c r="B35" s="591" t="s">
        <v>762</v>
      </c>
      <c r="C35" s="644" t="s">
        <v>761</v>
      </c>
      <c r="D35" s="621">
        <v>58888.69</v>
      </c>
      <c r="E35" s="622"/>
      <c r="F35" s="621"/>
      <c r="G35" s="621">
        <v>0</v>
      </c>
      <c r="H35" s="621"/>
      <c r="I35" s="621"/>
      <c r="J35" s="621"/>
      <c r="K35" s="621"/>
      <c r="L35" s="621"/>
      <c r="M35" s="621"/>
      <c r="N35" s="621">
        <f>SUM(G35,D35)</f>
        <v>58888.69</v>
      </c>
    </row>
    <row r="36" spans="1:14" ht="31.5">
      <c r="A36" s="591" t="s">
        <v>760</v>
      </c>
      <c r="B36" s="591" t="s">
        <v>471</v>
      </c>
      <c r="C36" s="644" t="s">
        <v>759</v>
      </c>
      <c r="D36" s="621">
        <v>11851.25</v>
      </c>
      <c r="E36" s="628"/>
      <c r="F36" s="628"/>
      <c r="G36" s="621">
        <f>H36+K36</f>
        <v>7691.59</v>
      </c>
      <c r="H36" s="628"/>
      <c r="I36" s="628"/>
      <c r="J36" s="628"/>
      <c r="K36" s="628">
        <v>7691.59</v>
      </c>
      <c r="L36" s="628">
        <v>7691.59</v>
      </c>
      <c r="M36" s="628"/>
      <c r="N36" s="621">
        <f>SUM(G36,D36)</f>
        <v>19542.84</v>
      </c>
    </row>
    <row r="37" spans="1:14" ht="31.5">
      <c r="A37" s="591" t="s">
        <v>758</v>
      </c>
      <c r="B37" s="591" t="s">
        <v>469</v>
      </c>
      <c r="C37" s="644" t="s">
        <v>757</v>
      </c>
      <c r="D37" s="621">
        <v>36128.34</v>
      </c>
      <c r="E37" s="628"/>
      <c r="F37" s="628"/>
      <c r="G37" s="621">
        <f>H37+K37</f>
        <v>24668.57</v>
      </c>
      <c r="H37" s="628"/>
      <c r="I37" s="628"/>
      <c r="J37" s="628"/>
      <c r="K37" s="628">
        <v>24668.57</v>
      </c>
      <c r="L37" s="628">
        <v>24668.57</v>
      </c>
      <c r="M37" s="628"/>
      <c r="N37" s="621">
        <f>SUM(G37,D37)</f>
        <v>60796.909999999996</v>
      </c>
    </row>
    <row r="38" spans="1:14" ht="16.5">
      <c r="A38" s="591" t="s">
        <v>756</v>
      </c>
      <c r="B38" s="591" t="s">
        <v>755</v>
      </c>
      <c r="C38" s="633" t="s">
        <v>754</v>
      </c>
      <c r="D38" s="621">
        <v>14000.4</v>
      </c>
      <c r="E38" s="628"/>
      <c r="F38" s="628"/>
      <c r="G38" s="621">
        <f>H38+K38</f>
        <v>12000</v>
      </c>
      <c r="H38" s="628"/>
      <c r="I38" s="628"/>
      <c r="J38" s="628"/>
      <c r="K38" s="628">
        <v>12000</v>
      </c>
      <c r="L38" s="628">
        <v>12000</v>
      </c>
      <c r="M38" s="628"/>
      <c r="N38" s="621">
        <f>SUM(G38,D38)</f>
        <v>26000.4</v>
      </c>
    </row>
    <row r="39" spans="1:14" ht="16.5">
      <c r="A39" s="591" t="s">
        <v>753</v>
      </c>
      <c r="B39" s="591" t="s">
        <v>14</v>
      </c>
      <c r="C39" s="644" t="s">
        <v>15</v>
      </c>
      <c r="D39" s="623">
        <v>49523.64</v>
      </c>
      <c r="E39" s="623">
        <v>0</v>
      </c>
      <c r="F39" s="623">
        <v>0</v>
      </c>
      <c r="G39" s="623">
        <v>225550</v>
      </c>
      <c r="H39" s="623">
        <v>0</v>
      </c>
      <c r="I39" s="623">
        <v>0</v>
      </c>
      <c r="J39" s="623">
        <v>0</v>
      </c>
      <c r="K39" s="622">
        <v>225550</v>
      </c>
      <c r="L39" s="622">
        <v>225550</v>
      </c>
      <c r="M39" s="622">
        <v>0</v>
      </c>
      <c r="N39" s="621">
        <f>SUM(G39,D39)</f>
        <v>275073.64</v>
      </c>
    </row>
    <row r="40" spans="1:14" ht="18.75" customHeight="1">
      <c r="A40" s="591" t="s">
        <v>752</v>
      </c>
      <c r="B40" s="591"/>
      <c r="C40" s="590" t="s">
        <v>741</v>
      </c>
      <c r="D40" s="623">
        <f>D41+D42</f>
        <v>255086.38</v>
      </c>
      <c r="E40" s="623">
        <f>E41+E42</f>
        <v>0</v>
      </c>
      <c r="F40" s="623">
        <f>F41+F42</f>
        <v>0</v>
      </c>
      <c r="G40" s="623">
        <f>G41+G42</f>
        <v>0</v>
      </c>
      <c r="H40" s="623">
        <f>H41+H42</f>
        <v>0</v>
      </c>
      <c r="I40" s="623">
        <f>I41+I42</f>
        <v>0</v>
      </c>
      <c r="J40" s="623">
        <f>J41+J42</f>
        <v>0</v>
      </c>
      <c r="K40" s="623">
        <f>K41+K42</f>
        <v>0</v>
      </c>
      <c r="L40" s="623">
        <f>L41+L42</f>
        <v>0</v>
      </c>
      <c r="M40" s="623">
        <f>M41+M42</f>
        <v>0</v>
      </c>
      <c r="N40" s="621">
        <f>SUM(G40,D40)</f>
        <v>255086.38</v>
      </c>
    </row>
    <row r="41" spans="1:14" ht="47.25">
      <c r="A41" s="591" t="s">
        <v>751</v>
      </c>
      <c r="B41" s="591" t="s">
        <v>102</v>
      </c>
      <c r="C41" s="590" t="s">
        <v>739</v>
      </c>
      <c r="D41" s="645">
        <v>219209.08</v>
      </c>
      <c r="E41" s="607"/>
      <c r="F41" s="607"/>
      <c r="G41" s="621">
        <f>H41+K41</f>
        <v>0</v>
      </c>
      <c r="H41" s="587"/>
      <c r="I41" s="587"/>
      <c r="J41" s="587"/>
      <c r="K41" s="628">
        <f>L41</f>
        <v>0</v>
      </c>
      <c r="L41" s="587"/>
      <c r="M41" s="587"/>
      <c r="N41" s="621">
        <f>SUM(G41,D41)</f>
        <v>219209.08</v>
      </c>
    </row>
    <row r="42" spans="1:14" ht="47.25">
      <c r="A42" s="591" t="s">
        <v>750</v>
      </c>
      <c r="B42" s="591" t="s">
        <v>109</v>
      </c>
      <c r="C42" s="644" t="s">
        <v>737</v>
      </c>
      <c r="D42" s="645">
        <v>35877.3</v>
      </c>
      <c r="E42" s="607"/>
      <c r="F42" s="607"/>
      <c r="G42" s="621">
        <f>H42+K42</f>
        <v>0</v>
      </c>
      <c r="H42" s="587"/>
      <c r="I42" s="587"/>
      <c r="J42" s="587"/>
      <c r="K42" s="628"/>
      <c r="L42" s="587"/>
      <c r="M42" s="587"/>
      <c r="N42" s="621">
        <f>SUM(G42,D42)</f>
        <v>35877.3</v>
      </c>
    </row>
    <row r="43" spans="1:14" ht="31.5">
      <c r="A43" s="591" t="s">
        <v>749</v>
      </c>
      <c r="B43" s="643"/>
      <c r="C43" s="638" t="s">
        <v>735</v>
      </c>
      <c r="D43" s="645">
        <f>D44</f>
        <v>240976.7</v>
      </c>
      <c r="E43" s="645">
        <f>E44</f>
        <v>0</v>
      </c>
      <c r="F43" s="645">
        <f>F44</f>
        <v>0</v>
      </c>
      <c r="G43" s="645">
        <f>G44</f>
        <v>6400</v>
      </c>
      <c r="H43" s="645">
        <f>H44</f>
        <v>0</v>
      </c>
      <c r="I43" s="645">
        <f>I44</f>
        <v>0</v>
      </c>
      <c r="J43" s="645">
        <f>J44</f>
        <v>0</v>
      </c>
      <c r="K43" s="645">
        <f>K44</f>
        <v>6400</v>
      </c>
      <c r="L43" s="645">
        <f>L44</f>
        <v>6400</v>
      </c>
      <c r="M43" s="645">
        <f>M44</f>
        <v>0</v>
      </c>
      <c r="N43" s="621">
        <f>SUM(G43,D43)</f>
        <v>247376.7</v>
      </c>
    </row>
    <row r="44" spans="1:14" ht="47.25">
      <c r="A44" s="591" t="s">
        <v>748</v>
      </c>
      <c r="B44" s="591" t="s">
        <v>465</v>
      </c>
      <c r="C44" s="644" t="s">
        <v>747</v>
      </c>
      <c r="D44" s="623">
        <v>240976.7</v>
      </c>
      <c r="E44" s="628"/>
      <c r="F44" s="628"/>
      <c r="G44" s="621">
        <f>H44+K44</f>
        <v>6400</v>
      </c>
      <c r="H44" s="628"/>
      <c r="I44" s="628"/>
      <c r="J44" s="628"/>
      <c r="K44" s="628">
        <v>6400</v>
      </c>
      <c r="L44" s="628">
        <v>6400</v>
      </c>
      <c r="M44" s="628"/>
      <c r="N44" s="621">
        <f>SUM(G44,D44)</f>
        <v>247376.7</v>
      </c>
    </row>
    <row r="45" spans="1:14" ht="31.5">
      <c r="A45" s="594">
        <v>1100000</v>
      </c>
      <c r="B45" s="594" t="s">
        <v>71</v>
      </c>
      <c r="C45" s="620" t="s">
        <v>72</v>
      </c>
      <c r="D45" s="592">
        <f>D46</f>
        <v>2180982.37</v>
      </c>
      <c r="E45" s="592">
        <f>E46</f>
        <v>0</v>
      </c>
      <c r="F45" s="592">
        <f>F46</f>
        <v>0</v>
      </c>
      <c r="G45" s="592">
        <f>G46</f>
        <v>110046.20999999999</v>
      </c>
      <c r="H45" s="592">
        <f>H46</f>
        <v>0</v>
      </c>
      <c r="I45" s="592">
        <f>I46</f>
        <v>0</v>
      </c>
      <c r="J45" s="592">
        <f>J46</f>
        <v>0</v>
      </c>
      <c r="K45" s="592">
        <f>K46</f>
        <v>110046.20999999999</v>
      </c>
      <c r="L45" s="592">
        <f>L46</f>
        <v>110046.20999999999</v>
      </c>
      <c r="M45" s="592">
        <f>M46</f>
        <v>0</v>
      </c>
      <c r="N45" s="592">
        <f>G45+D45</f>
        <v>2291028.58</v>
      </c>
    </row>
    <row r="46" spans="1:14" ht="31.5">
      <c r="A46" s="594">
        <v>1110000</v>
      </c>
      <c r="B46" s="594" t="s">
        <v>71</v>
      </c>
      <c r="C46" s="620" t="s">
        <v>72</v>
      </c>
      <c r="D46" s="592">
        <f>D47+D48+D50+D53+D55+D58</f>
        <v>2180982.37</v>
      </c>
      <c r="E46" s="592">
        <f>E47+E48+E50+E53+E55+E58</f>
        <v>0</v>
      </c>
      <c r="F46" s="592">
        <f>F47+F48+F50+F53+F55+F58</f>
        <v>0</v>
      </c>
      <c r="G46" s="592">
        <f>G47+G48+G50+G53+G55+G58</f>
        <v>110046.20999999999</v>
      </c>
      <c r="H46" s="592">
        <f>H47+H48+H50+H53+H55+H58</f>
        <v>0</v>
      </c>
      <c r="I46" s="592">
        <f>I47+I48+I50+I53+I55+I58</f>
        <v>0</v>
      </c>
      <c r="J46" s="592">
        <f>J47+J48+J50+J53+J55+J58</f>
        <v>0</v>
      </c>
      <c r="K46" s="592">
        <f>K47+K48+K50+K53+K55+K58</f>
        <v>110046.20999999999</v>
      </c>
      <c r="L46" s="592">
        <f>L47+L48+L50+L53+L55+L58</f>
        <v>110046.20999999999</v>
      </c>
      <c r="M46" s="592">
        <f>M47+M48+M50+M53+M55+M58</f>
        <v>0</v>
      </c>
      <c r="N46" s="592">
        <f>D46+G46</f>
        <v>2291028.58</v>
      </c>
    </row>
    <row r="47" spans="1:14" ht="31.5">
      <c r="A47" s="591" t="s">
        <v>746</v>
      </c>
      <c r="B47" s="591" t="s">
        <v>97</v>
      </c>
      <c r="C47" s="590" t="s">
        <v>745</v>
      </c>
      <c r="D47" s="588">
        <v>306764.78</v>
      </c>
      <c r="E47" s="589"/>
      <c r="F47" s="589"/>
      <c r="G47" s="588"/>
      <c r="H47" s="588"/>
      <c r="I47" s="588"/>
      <c r="J47" s="588"/>
      <c r="K47" s="589"/>
      <c r="L47" s="589"/>
      <c r="M47" s="589"/>
      <c r="N47" s="587">
        <f>SUM(G47,D47)</f>
        <v>306764.78</v>
      </c>
    </row>
    <row r="48" spans="1:14" ht="16.5">
      <c r="A48" s="591" t="s">
        <v>744</v>
      </c>
      <c r="B48" s="591"/>
      <c r="C48" s="633" t="s">
        <v>62</v>
      </c>
      <c r="D48" s="587">
        <f>D49</f>
        <v>35524.74</v>
      </c>
      <c r="E48" s="587">
        <f>E49</f>
        <v>0</v>
      </c>
      <c r="F48" s="587">
        <f>F49</f>
        <v>0</v>
      </c>
      <c r="G48" s="587">
        <f>G49</f>
        <v>0</v>
      </c>
      <c r="H48" s="587">
        <f>H49</f>
        <v>0</v>
      </c>
      <c r="I48" s="587">
        <f>I49</f>
        <v>0</v>
      </c>
      <c r="J48" s="587">
        <f>J49</f>
        <v>0</v>
      </c>
      <c r="K48" s="587">
        <f>K49</f>
        <v>0</v>
      </c>
      <c r="L48" s="587">
        <f>L49</f>
        <v>0</v>
      </c>
      <c r="M48" s="587">
        <f>M49</f>
        <v>0</v>
      </c>
      <c r="N48" s="587">
        <f>SUM(G48,D48)</f>
        <v>35524.74</v>
      </c>
    </row>
    <row r="49" spans="1:14" ht="50.25" customHeight="1">
      <c r="A49" s="591">
        <v>1113502</v>
      </c>
      <c r="B49" s="591" t="s">
        <v>99</v>
      </c>
      <c r="C49" s="590" t="s">
        <v>743</v>
      </c>
      <c r="D49" s="587">
        <v>35524.74</v>
      </c>
      <c r="E49" s="606"/>
      <c r="F49" s="606"/>
      <c r="G49" s="588"/>
      <c r="H49" s="587"/>
      <c r="I49" s="587"/>
      <c r="J49" s="587"/>
      <c r="K49" s="587"/>
      <c r="L49" s="587"/>
      <c r="M49" s="587"/>
      <c r="N49" s="587">
        <f>SUM(G49,D49)</f>
        <v>35524.74</v>
      </c>
    </row>
    <row r="50" spans="1:14" ht="21.75" customHeight="1">
      <c r="A50" s="619" t="s">
        <v>742</v>
      </c>
      <c r="B50" s="643"/>
      <c r="C50" s="638" t="s">
        <v>741</v>
      </c>
      <c r="D50" s="587">
        <f>D51+D52</f>
        <v>579884.19</v>
      </c>
      <c r="E50" s="587">
        <f>E51+E52</f>
        <v>0</v>
      </c>
      <c r="F50" s="587">
        <f>F51+F52</f>
        <v>0</v>
      </c>
      <c r="G50" s="587">
        <f>G51+G52</f>
        <v>0</v>
      </c>
      <c r="H50" s="587">
        <f>H51+H52</f>
        <v>0</v>
      </c>
      <c r="I50" s="587">
        <f>I51+I52</f>
        <v>0</v>
      </c>
      <c r="J50" s="587">
        <f>J51+J52</f>
        <v>0</v>
      </c>
      <c r="K50" s="587">
        <f>K51+K52</f>
        <v>0</v>
      </c>
      <c r="L50" s="587">
        <f>L51+L52</f>
        <v>0</v>
      </c>
      <c r="M50" s="587">
        <f>M51+M52</f>
        <v>0</v>
      </c>
      <c r="N50" s="587">
        <f>SUM(G50,D50)</f>
        <v>579884.19</v>
      </c>
    </row>
    <row r="51" spans="1:14" ht="50.25" customHeight="1">
      <c r="A51" s="591" t="s">
        <v>740</v>
      </c>
      <c r="B51" s="591" t="s">
        <v>102</v>
      </c>
      <c r="C51" s="590" t="s">
        <v>739</v>
      </c>
      <c r="D51" s="588">
        <v>507708.72</v>
      </c>
      <c r="E51" s="588"/>
      <c r="F51" s="588"/>
      <c r="G51" s="588"/>
      <c r="H51" s="588"/>
      <c r="I51" s="588"/>
      <c r="J51" s="588"/>
      <c r="K51" s="588"/>
      <c r="L51" s="588"/>
      <c r="M51" s="588"/>
      <c r="N51" s="587">
        <f>SUM(G51,D51)</f>
        <v>507708.72</v>
      </c>
    </row>
    <row r="52" spans="1:14" ht="50.25" customHeight="1">
      <c r="A52" s="591" t="s">
        <v>738</v>
      </c>
      <c r="B52" s="591" t="s">
        <v>109</v>
      </c>
      <c r="C52" s="590" t="s">
        <v>737</v>
      </c>
      <c r="D52" s="587">
        <v>72175.47</v>
      </c>
      <c r="E52" s="628"/>
      <c r="F52" s="628"/>
      <c r="G52" s="587">
        <f>H52+K52</f>
        <v>0</v>
      </c>
      <c r="H52" s="628"/>
      <c r="I52" s="628"/>
      <c r="J52" s="628"/>
      <c r="K52" s="628"/>
      <c r="L52" s="628"/>
      <c r="M52" s="628"/>
      <c r="N52" s="587">
        <f>SUM(G52,D52)</f>
        <v>72175.47</v>
      </c>
    </row>
    <row r="53" spans="1:14" ht="31.5">
      <c r="A53" s="591" t="s">
        <v>736</v>
      </c>
      <c r="B53" s="591"/>
      <c r="C53" s="590" t="s">
        <v>735</v>
      </c>
      <c r="D53" s="587">
        <f>D54</f>
        <v>589451.21</v>
      </c>
      <c r="E53" s="587">
        <f>E54</f>
        <v>0</v>
      </c>
      <c r="F53" s="587">
        <f>F54</f>
        <v>0</v>
      </c>
      <c r="G53" s="587">
        <f>G54</f>
        <v>55700</v>
      </c>
      <c r="H53" s="587">
        <f>H54</f>
        <v>0</v>
      </c>
      <c r="I53" s="587">
        <f>I54</f>
        <v>0</v>
      </c>
      <c r="J53" s="587">
        <f>J54</f>
        <v>0</v>
      </c>
      <c r="K53" s="587">
        <f>K54</f>
        <v>55700</v>
      </c>
      <c r="L53" s="587">
        <f>L54</f>
        <v>55700</v>
      </c>
      <c r="M53" s="587">
        <f>M54</f>
        <v>0</v>
      </c>
      <c r="N53" s="587">
        <f>SUM(G53,D53)</f>
        <v>645151.21</v>
      </c>
    </row>
    <row r="54" spans="1:14" ht="47.25">
      <c r="A54" s="591" t="s">
        <v>734</v>
      </c>
      <c r="B54" s="591" t="s">
        <v>462</v>
      </c>
      <c r="C54" s="625" t="s">
        <v>733</v>
      </c>
      <c r="D54" s="587">
        <v>589451.21</v>
      </c>
      <c r="E54" s="628"/>
      <c r="F54" s="628"/>
      <c r="G54" s="587">
        <f>H54+K54</f>
        <v>55700</v>
      </c>
      <c r="H54" s="628"/>
      <c r="I54" s="628"/>
      <c r="J54" s="628"/>
      <c r="K54" s="628">
        <v>55700</v>
      </c>
      <c r="L54" s="628">
        <v>55700</v>
      </c>
      <c r="M54" s="628"/>
      <c r="N54" s="621">
        <f>SUM(G54,D54)</f>
        <v>645151.21</v>
      </c>
    </row>
    <row r="55" spans="1:14" ht="31.5">
      <c r="A55" s="591" t="s">
        <v>732</v>
      </c>
      <c r="B55" s="643"/>
      <c r="C55" s="642" t="s">
        <v>731</v>
      </c>
      <c r="D55" s="587">
        <f>D56+D57</f>
        <v>632525.14</v>
      </c>
      <c r="E55" s="587">
        <f>E56+E57</f>
        <v>0</v>
      </c>
      <c r="F55" s="587">
        <f>F56+F57</f>
        <v>0</v>
      </c>
      <c r="G55" s="587">
        <f>G56+G57</f>
        <v>54346.21</v>
      </c>
      <c r="H55" s="587">
        <f>H56+H57</f>
        <v>0</v>
      </c>
      <c r="I55" s="587">
        <f>I56+I57</f>
        <v>0</v>
      </c>
      <c r="J55" s="587">
        <f>J56+J57</f>
        <v>0</v>
      </c>
      <c r="K55" s="587">
        <f>K56+K57</f>
        <v>54346.21</v>
      </c>
      <c r="L55" s="587">
        <f>L56+L57</f>
        <v>54346.21</v>
      </c>
      <c r="M55" s="587">
        <f>M56+M57</f>
        <v>0</v>
      </c>
      <c r="N55" s="621">
        <f>SUM(G55,D55)</f>
        <v>686871.35</v>
      </c>
    </row>
    <row r="56" spans="1:14" ht="31.5">
      <c r="A56" s="591" t="s">
        <v>730</v>
      </c>
      <c r="B56" s="591" t="s">
        <v>105</v>
      </c>
      <c r="C56" s="590" t="s">
        <v>729</v>
      </c>
      <c r="D56" s="587">
        <v>139131.86</v>
      </c>
      <c r="E56" s="628"/>
      <c r="F56" s="628"/>
      <c r="G56" s="587">
        <f>H56+K56</f>
        <v>54346.21</v>
      </c>
      <c r="H56" s="628"/>
      <c r="I56" s="628"/>
      <c r="J56" s="628"/>
      <c r="K56" s="628">
        <v>54346.21</v>
      </c>
      <c r="L56" s="628">
        <v>54346.21</v>
      </c>
      <c r="M56" s="628"/>
      <c r="N56" s="621">
        <f>SUM(G56,D56)</f>
        <v>193478.06999999998</v>
      </c>
    </row>
    <row r="57" spans="1:14" ht="47.25">
      <c r="A57" s="591" t="s">
        <v>728</v>
      </c>
      <c r="B57" s="591" t="s">
        <v>107</v>
      </c>
      <c r="C57" s="590" t="s">
        <v>727</v>
      </c>
      <c r="D57" s="587">
        <v>493393.28</v>
      </c>
      <c r="E57" s="628"/>
      <c r="F57" s="628"/>
      <c r="G57" s="587">
        <f>H57+K57</f>
        <v>0</v>
      </c>
      <c r="H57" s="628"/>
      <c r="I57" s="628"/>
      <c r="J57" s="628"/>
      <c r="K57" s="628"/>
      <c r="L57" s="628"/>
      <c r="M57" s="628"/>
      <c r="N57" s="621">
        <f>SUM(G57,D57)</f>
        <v>493393.28</v>
      </c>
    </row>
    <row r="58" spans="1:14" ht="31.5">
      <c r="A58" s="591" t="s">
        <v>726</v>
      </c>
      <c r="B58" s="591" t="s">
        <v>113</v>
      </c>
      <c r="C58" s="625" t="s">
        <v>725</v>
      </c>
      <c r="D58" s="587">
        <v>36832.31</v>
      </c>
      <c r="E58" s="628"/>
      <c r="F58" s="628"/>
      <c r="G58" s="587">
        <f>H58+K58</f>
        <v>0</v>
      </c>
      <c r="H58" s="628"/>
      <c r="I58" s="628"/>
      <c r="J58" s="628"/>
      <c r="K58" s="628"/>
      <c r="L58" s="628"/>
      <c r="M58" s="628"/>
      <c r="N58" s="621">
        <f>SUM(G58,D58)</f>
        <v>36832.31</v>
      </c>
    </row>
    <row r="59" spans="1:14" s="582" customFormat="1" ht="31.5">
      <c r="A59" s="594">
        <v>1400000</v>
      </c>
      <c r="B59" s="594" t="s">
        <v>461</v>
      </c>
      <c r="C59" s="630" t="s">
        <v>460</v>
      </c>
      <c r="D59" s="592">
        <f>D60</f>
        <v>1795607.1000000003</v>
      </c>
      <c r="E59" s="592">
        <f>E60</f>
        <v>0</v>
      </c>
      <c r="F59" s="592">
        <f>F60</f>
        <v>0</v>
      </c>
      <c r="G59" s="592">
        <f>G60</f>
        <v>442076.52</v>
      </c>
      <c r="H59" s="592">
        <f>H60</f>
        <v>39900</v>
      </c>
      <c r="I59" s="592">
        <f>I60</f>
        <v>0</v>
      </c>
      <c r="J59" s="592">
        <f>J60</f>
        <v>0</v>
      </c>
      <c r="K59" s="592">
        <f>K60</f>
        <v>402176.52</v>
      </c>
      <c r="L59" s="592">
        <f>L60</f>
        <v>402176.52</v>
      </c>
      <c r="M59" s="592">
        <f>M60</f>
        <v>0</v>
      </c>
      <c r="N59" s="592">
        <f>D59+G59</f>
        <v>2237683.62</v>
      </c>
    </row>
    <row r="60" spans="1:14" s="582" customFormat="1" ht="31.5">
      <c r="A60" s="594">
        <v>1410000</v>
      </c>
      <c r="B60" s="594" t="s">
        <v>461</v>
      </c>
      <c r="C60" s="630" t="s">
        <v>460</v>
      </c>
      <c r="D60" s="592">
        <f>SUM(D61:D76)</f>
        <v>1795607.1000000003</v>
      </c>
      <c r="E60" s="592">
        <f>SUM(E61:E76)</f>
        <v>0</v>
      </c>
      <c r="F60" s="592">
        <f>SUM(F61:F76)</f>
        <v>0</v>
      </c>
      <c r="G60" s="592">
        <f>SUM(G61:G76)</f>
        <v>442076.52</v>
      </c>
      <c r="H60" s="592">
        <f>SUM(H61:H76)</f>
        <v>39900</v>
      </c>
      <c r="I60" s="592">
        <f>SUM(I61:I76)</f>
        <v>0</v>
      </c>
      <c r="J60" s="592">
        <f>SUM(J61:J76)</f>
        <v>0</v>
      </c>
      <c r="K60" s="592">
        <f>SUM(K61:K76)</f>
        <v>402176.52</v>
      </c>
      <c r="L60" s="592">
        <f>SUM(L61:L76)</f>
        <v>402176.52</v>
      </c>
      <c r="M60" s="592">
        <f>SUM(M61:M76)</f>
        <v>0</v>
      </c>
      <c r="N60" s="592">
        <f>D60+G60</f>
        <v>2237683.62</v>
      </c>
    </row>
    <row r="61" spans="1:18" s="582" customFormat="1" ht="37.5" customHeight="1">
      <c r="A61" s="591" t="s">
        <v>724</v>
      </c>
      <c r="B61" s="591" t="s">
        <v>459</v>
      </c>
      <c r="C61" s="614" t="s">
        <v>723</v>
      </c>
      <c r="D61" s="588"/>
      <c r="E61" s="595"/>
      <c r="F61" s="595"/>
      <c r="G61" s="588">
        <f>H61+K61</f>
        <v>105533.5</v>
      </c>
      <c r="H61" s="595"/>
      <c r="I61" s="595"/>
      <c r="J61" s="595"/>
      <c r="K61" s="589">
        <v>105533.5</v>
      </c>
      <c r="L61" s="589">
        <v>105533.5</v>
      </c>
      <c r="M61" s="595"/>
      <c r="N61" s="621">
        <f>SUM(G61,D61)</f>
        <v>105533.5</v>
      </c>
      <c r="O61" s="641"/>
      <c r="P61" s="641"/>
      <c r="Q61" s="641"/>
      <c r="R61" s="641"/>
    </row>
    <row r="62" spans="1:18" s="582" customFormat="1" ht="78.75">
      <c r="A62" s="591" t="s">
        <v>722</v>
      </c>
      <c r="B62" s="591" t="s">
        <v>473</v>
      </c>
      <c r="C62" s="614" t="s">
        <v>721</v>
      </c>
      <c r="D62" s="621">
        <v>139901.81</v>
      </c>
      <c r="E62" s="588"/>
      <c r="F62" s="588"/>
      <c r="G62" s="588">
        <f>H62+K62</f>
        <v>0</v>
      </c>
      <c r="H62" s="588"/>
      <c r="I62" s="588"/>
      <c r="J62" s="588"/>
      <c r="K62" s="588"/>
      <c r="L62" s="588"/>
      <c r="M62" s="588"/>
      <c r="N62" s="621">
        <f>SUM(G62,D62)</f>
        <v>139901.81</v>
      </c>
      <c r="O62" s="641"/>
      <c r="P62" s="641"/>
      <c r="Q62" s="641"/>
      <c r="R62" s="641"/>
    </row>
    <row r="63" spans="1:18" s="582" customFormat="1" ht="47.25">
      <c r="A63" s="591" t="s">
        <v>720</v>
      </c>
      <c r="B63" s="591" t="s">
        <v>719</v>
      </c>
      <c r="C63" s="614" t="s">
        <v>718</v>
      </c>
      <c r="D63" s="621">
        <v>11614.35</v>
      </c>
      <c r="E63" s="589"/>
      <c r="F63" s="589"/>
      <c r="G63" s="588">
        <f>H63+K63</f>
        <v>0</v>
      </c>
      <c r="H63" s="589"/>
      <c r="I63" s="588"/>
      <c r="J63" s="588"/>
      <c r="K63" s="588"/>
      <c r="L63" s="588"/>
      <c r="M63" s="588"/>
      <c r="N63" s="621">
        <f>SUM(G63,D63)</f>
        <v>11614.35</v>
      </c>
      <c r="O63" s="641"/>
      <c r="P63" s="641"/>
      <c r="Q63" s="641"/>
      <c r="R63" s="641"/>
    </row>
    <row r="64" spans="1:14" ht="31.5">
      <c r="A64" s="591" t="s">
        <v>717</v>
      </c>
      <c r="B64" s="591" t="s">
        <v>716</v>
      </c>
      <c r="C64" s="614" t="s">
        <v>715</v>
      </c>
      <c r="D64" s="621">
        <v>275810.3</v>
      </c>
      <c r="E64" s="606"/>
      <c r="F64" s="606"/>
      <c r="G64" s="621">
        <v>0</v>
      </c>
      <c r="H64" s="606"/>
      <c r="I64" s="606"/>
      <c r="J64" s="606"/>
      <c r="K64" s="606"/>
      <c r="L64" s="606"/>
      <c r="M64" s="606"/>
      <c r="N64" s="621">
        <f>SUM(G64,D64)</f>
        <v>275810.3</v>
      </c>
    </row>
    <row r="65" spans="1:14" ht="31.5">
      <c r="A65" s="591" t="s">
        <v>714</v>
      </c>
      <c r="B65" s="591" t="s">
        <v>457</v>
      </c>
      <c r="C65" s="614" t="s">
        <v>713</v>
      </c>
      <c r="D65" s="621">
        <v>629971.74</v>
      </c>
      <c r="E65" s="606"/>
      <c r="F65" s="606"/>
      <c r="G65" s="621">
        <v>229093.02</v>
      </c>
      <c r="H65" s="606">
        <v>39900</v>
      </c>
      <c r="I65" s="606"/>
      <c r="J65" s="606"/>
      <c r="K65" s="606">
        <v>189193.02</v>
      </c>
      <c r="L65" s="606">
        <v>189193.02</v>
      </c>
      <c r="M65" s="606"/>
      <c r="N65" s="621">
        <f>SUM(G65,D65)</f>
        <v>859064.76</v>
      </c>
    </row>
    <row r="66" spans="1:14" ht="35.25" customHeight="1">
      <c r="A66" s="591" t="s">
        <v>712</v>
      </c>
      <c r="B66" s="591" t="s">
        <v>711</v>
      </c>
      <c r="C66" s="614" t="s">
        <v>710</v>
      </c>
      <c r="D66" s="621">
        <v>129728.36</v>
      </c>
      <c r="E66" s="628"/>
      <c r="F66" s="628"/>
      <c r="G66" s="621"/>
      <c r="H66" s="628"/>
      <c r="I66" s="628"/>
      <c r="J66" s="628"/>
      <c r="K66" s="628"/>
      <c r="L66" s="628"/>
      <c r="M66" s="628"/>
      <c r="N66" s="621">
        <f>SUM(G66,D66)</f>
        <v>129728.36</v>
      </c>
    </row>
    <row r="67" spans="1:14" ht="31.5">
      <c r="A67" s="591" t="s">
        <v>709</v>
      </c>
      <c r="B67" s="591" t="s">
        <v>708</v>
      </c>
      <c r="C67" s="614" t="s">
        <v>707</v>
      </c>
      <c r="D67" s="621">
        <v>33365.31</v>
      </c>
      <c r="E67" s="628"/>
      <c r="F67" s="628"/>
      <c r="G67" s="621">
        <v>0</v>
      </c>
      <c r="H67" s="628"/>
      <c r="I67" s="628"/>
      <c r="J67" s="628"/>
      <c r="K67" s="628"/>
      <c r="L67" s="628"/>
      <c r="M67" s="628"/>
      <c r="N67" s="621">
        <f>SUM(G67,D67)</f>
        <v>33365.31</v>
      </c>
    </row>
    <row r="68" spans="1:14" ht="47.25">
      <c r="A68" s="591" t="s">
        <v>706</v>
      </c>
      <c r="B68" s="591" t="s">
        <v>705</v>
      </c>
      <c r="C68" s="614" t="s">
        <v>704</v>
      </c>
      <c r="D68" s="621">
        <v>6720.29</v>
      </c>
      <c r="E68" s="628"/>
      <c r="F68" s="628"/>
      <c r="G68" s="621">
        <v>0</v>
      </c>
      <c r="H68" s="628"/>
      <c r="I68" s="628"/>
      <c r="J68" s="628"/>
      <c r="K68" s="628"/>
      <c r="L68" s="628"/>
      <c r="M68" s="628"/>
      <c r="N68" s="621">
        <f>SUM(G68,D68)</f>
        <v>6720.29</v>
      </c>
    </row>
    <row r="69" spans="1:14" ht="21" customHeight="1">
      <c r="A69" s="591" t="s">
        <v>703</v>
      </c>
      <c r="B69" s="591" t="s">
        <v>702</v>
      </c>
      <c r="C69" s="614" t="s">
        <v>701</v>
      </c>
      <c r="D69" s="621">
        <v>27380.3</v>
      </c>
      <c r="E69" s="607"/>
      <c r="F69" s="607"/>
      <c r="G69" s="621">
        <v>0</v>
      </c>
      <c r="H69" s="606"/>
      <c r="I69" s="606"/>
      <c r="J69" s="606"/>
      <c r="K69" s="606"/>
      <c r="L69" s="606"/>
      <c r="M69" s="606"/>
      <c r="N69" s="621">
        <f>SUM(G69,D69)</f>
        <v>27380.3</v>
      </c>
    </row>
    <row r="70" spans="1:14" ht="21.75" customHeight="1">
      <c r="A70" s="591" t="s">
        <v>700</v>
      </c>
      <c r="B70" s="591" t="s">
        <v>699</v>
      </c>
      <c r="C70" s="614" t="s">
        <v>698</v>
      </c>
      <c r="D70" s="621">
        <v>28347.8</v>
      </c>
      <c r="E70" s="628"/>
      <c r="F70" s="628"/>
      <c r="G70" s="621">
        <v>0</v>
      </c>
      <c r="H70" s="628"/>
      <c r="I70" s="628"/>
      <c r="J70" s="628"/>
      <c r="K70" s="628"/>
      <c r="L70" s="628"/>
      <c r="M70" s="628"/>
      <c r="N70" s="621">
        <f>SUM(G70,D70)</f>
        <v>28347.8</v>
      </c>
    </row>
    <row r="71" spans="1:14" ht="31.5">
      <c r="A71" s="591" t="s">
        <v>697</v>
      </c>
      <c r="B71" s="591" t="s">
        <v>455</v>
      </c>
      <c r="C71" s="614" t="s">
        <v>696</v>
      </c>
      <c r="D71" s="621">
        <v>345750.43</v>
      </c>
      <c r="E71" s="628"/>
      <c r="F71" s="628"/>
      <c r="G71" s="621">
        <v>71500</v>
      </c>
      <c r="H71" s="628"/>
      <c r="I71" s="628"/>
      <c r="J71" s="628"/>
      <c r="K71" s="628">
        <v>71500</v>
      </c>
      <c r="L71" s="628">
        <v>71500</v>
      </c>
      <c r="M71" s="628"/>
      <c r="N71" s="621">
        <f>SUM(G71,D71)</f>
        <v>417250.43</v>
      </c>
    </row>
    <row r="72" spans="1:14" ht="31.5">
      <c r="A72" s="591" t="s">
        <v>695</v>
      </c>
      <c r="B72" s="591" t="s">
        <v>694</v>
      </c>
      <c r="C72" s="614" t="s">
        <v>693</v>
      </c>
      <c r="D72" s="621">
        <v>4058.78</v>
      </c>
      <c r="E72" s="628"/>
      <c r="F72" s="628"/>
      <c r="G72" s="621">
        <v>0</v>
      </c>
      <c r="H72" s="628"/>
      <c r="I72" s="628"/>
      <c r="J72" s="628"/>
      <c r="K72" s="628"/>
      <c r="L72" s="628"/>
      <c r="M72" s="628"/>
      <c r="N72" s="621">
        <f>SUM(G72,D72)</f>
        <v>4058.78</v>
      </c>
    </row>
    <row r="73" spans="1:14" ht="47.25">
      <c r="A73" s="591" t="s">
        <v>692</v>
      </c>
      <c r="B73" s="591" t="s">
        <v>691</v>
      </c>
      <c r="C73" s="614" t="s">
        <v>690</v>
      </c>
      <c r="D73" s="623">
        <v>4395.73</v>
      </c>
      <c r="E73" s="622"/>
      <c r="F73" s="622"/>
      <c r="G73" s="623">
        <v>0</v>
      </c>
      <c r="H73" s="623"/>
      <c r="I73" s="623"/>
      <c r="J73" s="623"/>
      <c r="K73" s="622"/>
      <c r="L73" s="622"/>
      <c r="M73" s="622"/>
      <c r="N73" s="621">
        <f>SUM(G73,D73)</f>
        <v>4395.73</v>
      </c>
    </row>
    <row r="74" spans="1:14" ht="31.5">
      <c r="A74" s="591" t="s">
        <v>689</v>
      </c>
      <c r="B74" s="591" t="s">
        <v>688</v>
      </c>
      <c r="C74" s="614" t="s">
        <v>687</v>
      </c>
      <c r="D74" s="621">
        <v>49658.82</v>
      </c>
      <c r="E74" s="628"/>
      <c r="F74" s="628"/>
      <c r="G74" s="621">
        <v>0</v>
      </c>
      <c r="H74" s="622"/>
      <c r="I74" s="622"/>
      <c r="J74" s="622"/>
      <c r="K74" s="622"/>
      <c r="L74" s="622"/>
      <c r="M74" s="622"/>
      <c r="N74" s="621">
        <f>SUM(G74,D74)</f>
        <v>49658.82</v>
      </c>
    </row>
    <row r="75" spans="1:14" ht="16.5">
      <c r="A75" s="591" t="s">
        <v>686</v>
      </c>
      <c r="B75" s="591" t="s">
        <v>453</v>
      </c>
      <c r="C75" s="614" t="s">
        <v>452</v>
      </c>
      <c r="D75" s="621">
        <v>80842.23999999999</v>
      </c>
      <c r="E75" s="628">
        <v>0</v>
      </c>
      <c r="F75" s="628">
        <v>0</v>
      </c>
      <c r="G75" s="621">
        <v>30000</v>
      </c>
      <c r="H75" s="628">
        <v>0</v>
      </c>
      <c r="I75" s="628">
        <v>0</v>
      </c>
      <c r="J75" s="628">
        <v>0</v>
      </c>
      <c r="K75" s="628">
        <v>30000</v>
      </c>
      <c r="L75" s="628">
        <v>30000</v>
      </c>
      <c r="M75" s="628">
        <v>0</v>
      </c>
      <c r="N75" s="621">
        <f>SUM(G75,D75)</f>
        <v>110842.23999999999</v>
      </c>
    </row>
    <row r="76" spans="1:14" ht="16.5">
      <c r="A76" s="591" t="s">
        <v>685</v>
      </c>
      <c r="B76" s="591" t="s">
        <v>441</v>
      </c>
      <c r="C76" s="614" t="s">
        <v>451</v>
      </c>
      <c r="D76" s="621">
        <v>28060.84</v>
      </c>
      <c r="E76" s="628"/>
      <c r="F76" s="628"/>
      <c r="G76" s="621">
        <f>H76+K76</f>
        <v>5950</v>
      </c>
      <c r="H76" s="628"/>
      <c r="I76" s="628"/>
      <c r="J76" s="628"/>
      <c r="K76" s="628">
        <v>5950</v>
      </c>
      <c r="L76" s="628">
        <v>5950</v>
      </c>
      <c r="M76" s="628"/>
      <c r="N76" s="621"/>
    </row>
    <row r="77" spans="1:30" s="582" customFormat="1" ht="31.5">
      <c r="A77" s="594">
        <v>1500000</v>
      </c>
      <c r="B77" s="594" t="s">
        <v>65</v>
      </c>
      <c r="C77" s="620" t="s">
        <v>68</v>
      </c>
      <c r="D77" s="592">
        <f>D78</f>
        <v>1775914.01</v>
      </c>
      <c r="E77" s="592">
        <f>E78</f>
        <v>0</v>
      </c>
      <c r="F77" s="592">
        <f>F78</f>
        <v>0</v>
      </c>
      <c r="G77" s="592">
        <f>G78</f>
        <v>297862.02</v>
      </c>
      <c r="H77" s="592">
        <f>H78</f>
        <v>0</v>
      </c>
      <c r="I77" s="592">
        <f>I78</f>
        <v>0</v>
      </c>
      <c r="J77" s="592">
        <f>J78</f>
        <v>0</v>
      </c>
      <c r="K77" s="592">
        <f>K78</f>
        <v>297862.02</v>
      </c>
      <c r="L77" s="592">
        <f>L78</f>
        <v>297862.02</v>
      </c>
      <c r="M77" s="592">
        <f>M78</f>
        <v>0</v>
      </c>
      <c r="N77" s="592">
        <f>D77+G77</f>
        <v>2073776.03</v>
      </c>
      <c r="O77" s="640"/>
      <c r="P77" s="640"/>
      <c r="Q77" s="640"/>
      <c r="R77" s="640"/>
      <c r="S77" s="640"/>
      <c r="T77" s="640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</row>
    <row r="78" spans="1:30" s="582" customFormat="1" ht="31.5">
      <c r="A78" s="594">
        <v>1510000</v>
      </c>
      <c r="B78" s="594" t="s">
        <v>65</v>
      </c>
      <c r="C78" s="620" t="s">
        <v>68</v>
      </c>
      <c r="D78" s="592">
        <f>D79+D83+D90+D91+D85+D88</f>
        <v>1775914.01</v>
      </c>
      <c r="E78" s="592">
        <f>E79+E83+E90+E91+E85+E88</f>
        <v>0</v>
      </c>
      <c r="F78" s="592">
        <f>F79+F83+F90+F91+F85+F88</f>
        <v>0</v>
      </c>
      <c r="G78" s="592">
        <f>G79+G83+G90+G91+G85+G88</f>
        <v>297862.02</v>
      </c>
      <c r="H78" s="592">
        <f>H79+H83+H90+H91+H85+H88</f>
        <v>0</v>
      </c>
      <c r="I78" s="592">
        <f>I79+I83+I90+I91+I85+I88</f>
        <v>0</v>
      </c>
      <c r="J78" s="592">
        <f>J79+J83+J90+J91+J85+J88</f>
        <v>0</v>
      </c>
      <c r="K78" s="592">
        <f>K79+K83+K90+K91+K85+K88</f>
        <v>297862.02</v>
      </c>
      <c r="L78" s="592">
        <f>L79+L83+L90+L91+L85+L88</f>
        <v>297862.02</v>
      </c>
      <c r="M78" s="592">
        <f>M79+M83+M90+M91+M85+M88</f>
        <v>0</v>
      </c>
      <c r="N78" s="592">
        <f>D78+G78</f>
        <v>2073776.03</v>
      </c>
      <c r="O78" s="640"/>
      <c r="P78" s="640"/>
      <c r="Q78" s="640"/>
      <c r="R78" s="640"/>
      <c r="S78" s="640"/>
      <c r="T78" s="640"/>
      <c r="U78" s="640"/>
      <c r="V78" s="640"/>
      <c r="W78" s="640"/>
      <c r="X78" s="640"/>
      <c r="Y78" s="640"/>
      <c r="Z78" s="640"/>
      <c r="AA78" s="640"/>
      <c r="AB78" s="640"/>
      <c r="AC78" s="640"/>
      <c r="AD78" s="640"/>
    </row>
    <row r="79" spans="1:30" ht="63">
      <c r="A79" s="591" t="s">
        <v>684</v>
      </c>
      <c r="B79" s="639"/>
      <c r="C79" s="638" t="s">
        <v>683</v>
      </c>
      <c r="D79" s="587">
        <f>D80+D81+D82</f>
        <v>1512486.37</v>
      </c>
      <c r="E79" s="587">
        <f>E80+E81+E82</f>
        <v>0</v>
      </c>
      <c r="F79" s="587">
        <f>F80+F81+F82</f>
        <v>0</v>
      </c>
      <c r="G79" s="587">
        <f>G80+G81+G82</f>
        <v>208828</v>
      </c>
      <c r="H79" s="587">
        <f>H80+H81+H82</f>
        <v>0</v>
      </c>
      <c r="I79" s="587">
        <f>I80+I81+I82</f>
        <v>0</v>
      </c>
      <c r="J79" s="587">
        <f>J80+J81+J82</f>
        <v>0</v>
      </c>
      <c r="K79" s="587">
        <f>K80+K81+K82</f>
        <v>208828</v>
      </c>
      <c r="L79" s="587">
        <f>L80+L81+L82</f>
        <v>208828</v>
      </c>
      <c r="M79" s="587">
        <f>M80+M81+M82</f>
        <v>0</v>
      </c>
      <c r="N79" s="621">
        <f>SUM(G79,D79)</f>
        <v>1721314.37</v>
      </c>
      <c r="O79" s="637"/>
      <c r="P79" s="635"/>
      <c r="Q79" s="636"/>
      <c r="R79" s="636"/>
      <c r="S79" s="636"/>
      <c r="T79" s="636"/>
      <c r="U79" s="635"/>
      <c r="V79" s="636"/>
      <c r="W79" s="636"/>
      <c r="X79" s="636"/>
      <c r="Y79" s="636"/>
      <c r="Z79" s="636"/>
      <c r="AA79" s="635"/>
      <c r="AB79" s="632"/>
      <c r="AC79" s="632"/>
      <c r="AD79" s="632"/>
    </row>
    <row r="80" spans="1:30" ht="63">
      <c r="A80" s="591" t="s">
        <v>682</v>
      </c>
      <c r="B80" s="591" t="s">
        <v>450</v>
      </c>
      <c r="C80" s="618" t="s">
        <v>681</v>
      </c>
      <c r="D80" s="587">
        <v>49657.23</v>
      </c>
      <c r="E80" s="607"/>
      <c r="F80" s="607"/>
      <c r="G80" s="605">
        <f>H80+K80</f>
        <v>4000</v>
      </c>
      <c r="H80" s="607"/>
      <c r="I80" s="607"/>
      <c r="J80" s="607"/>
      <c r="K80" s="607">
        <v>4000</v>
      </c>
      <c r="L80" s="607">
        <v>4000</v>
      </c>
      <c r="M80" s="587"/>
      <c r="N80" s="621">
        <f>SUM(G80,D80)</f>
        <v>53657.23</v>
      </c>
      <c r="O80" s="632"/>
      <c r="P80" s="632"/>
      <c r="Q80" s="632"/>
      <c r="R80" s="632"/>
      <c r="S80" s="632"/>
      <c r="T80" s="632"/>
      <c r="U80" s="632"/>
      <c r="V80" s="632"/>
      <c r="W80" s="632"/>
      <c r="X80" s="632"/>
      <c r="Y80" s="632"/>
      <c r="Z80" s="632"/>
      <c r="AA80" s="632"/>
      <c r="AB80" s="632"/>
      <c r="AC80" s="632"/>
      <c r="AD80" s="632"/>
    </row>
    <row r="81" spans="1:30" ht="110.25" customHeight="1">
      <c r="A81" s="591" t="s">
        <v>680</v>
      </c>
      <c r="B81" s="591" t="s">
        <v>448</v>
      </c>
      <c r="C81" s="634" t="s">
        <v>679</v>
      </c>
      <c r="D81" s="587">
        <v>943191.4</v>
      </c>
      <c r="E81" s="607"/>
      <c r="F81" s="607"/>
      <c r="G81" s="605">
        <v>165028</v>
      </c>
      <c r="H81" s="607"/>
      <c r="I81" s="607"/>
      <c r="J81" s="607"/>
      <c r="K81" s="607">
        <v>165028</v>
      </c>
      <c r="L81" s="607">
        <v>165028</v>
      </c>
      <c r="M81" s="606"/>
      <c r="N81" s="621">
        <f>SUM(G81,D81)</f>
        <v>1108219.4</v>
      </c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632"/>
      <c r="AA81" s="632"/>
      <c r="AB81" s="632"/>
      <c r="AC81" s="632"/>
      <c r="AD81" s="632"/>
    </row>
    <row r="82" spans="1:30" ht="31.5">
      <c r="A82" s="591" t="s">
        <v>678</v>
      </c>
      <c r="B82" s="591" t="s">
        <v>446</v>
      </c>
      <c r="C82" s="608" t="s">
        <v>677</v>
      </c>
      <c r="D82" s="587">
        <v>519637.74</v>
      </c>
      <c r="E82" s="607"/>
      <c r="F82" s="607"/>
      <c r="G82" s="605">
        <f>H82+K82</f>
        <v>39800</v>
      </c>
      <c r="H82" s="607"/>
      <c r="I82" s="607"/>
      <c r="J82" s="607"/>
      <c r="K82" s="607">
        <v>39800</v>
      </c>
      <c r="L82" s="607">
        <v>39800</v>
      </c>
      <c r="M82" s="606"/>
      <c r="N82" s="621">
        <f>SUM(G82,D82)</f>
        <v>559437.74</v>
      </c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632"/>
      <c r="AD82" s="632"/>
    </row>
    <row r="83" spans="1:30" ht="31.5">
      <c r="A83" s="591" t="s">
        <v>676</v>
      </c>
      <c r="B83" s="591"/>
      <c r="C83" s="614" t="s">
        <v>657</v>
      </c>
      <c r="D83" s="587">
        <f>D84</f>
        <v>6473.9</v>
      </c>
      <c r="E83" s="587">
        <f>E84</f>
        <v>0</v>
      </c>
      <c r="F83" s="587">
        <f>F84</f>
        <v>0</v>
      </c>
      <c r="G83" s="587">
        <f>G84</f>
        <v>0</v>
      </c>
      <c r="H83" s="587">
        <f>H84</f>
        <v>0</v>
      </c>
      <c r="I83" s="587">
        <f>I84</f>
        <v>0</v>
      </c>
      <c r="J83" s="587">
        <f>J84</f>
        <v>0</v>
      </c>
      <c r="K83" s="587">
        <f>K84</f>
        <v>0</v>
      </c>
      <c r="L83" s="587">
        <f>L84</f>
        <v>0</v>
      </c>
      <c r="M83" s="587">
        <f>M84</f>
        <v>0</v>
      </c>
      <c r="N83" s="621">
        <f>SUM(G83,D83)</f>
        <v>6473.9</v>
      </c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632"/>
      <c r="Z83" s="632"/>
      <c r="AA83" s="632"/>
      <c r="AB83" s="632"/>
      <c r="AC83" s="632"/>
      <c r="AD83" s="632"/>
    </row>
    <row r="84" spans="1:30" ht="47.25">
      <c r="A84" s="591" t="s">
        <v>675</v>
      </c>
      <c r="B84" s="591" t="s">
        <v>655</v>
      </c>
      <c r="C84" s="631" t="s">
        <v>654</v>
      </c>
      <c r="D84" s="587">
        <v>6473.9</v>
      </c>
      <c r="E84" s="607"/>
      <c r="F84" s="607"/>
      <c r="G84" s="605">
        <f>H84+K84</f>
        <v>0</v>
      </c>
      <c r="H84" s="607"/>
      <c r="I84" s="607"/>
      <c r="J84" s="607"/>
      <c r="K84" s="607"/>
      <c r="L84" s="607"/>
      <c r="M84" s="587"/>
      <c r="N84" s="621">
        <f>SUM(G84,D84)</f>
        <v>6473.9</v>
      </c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632"/>
    </row>
    <row r="85" spans="1:30" ht="31.5">
      <c r="A85" s="591" t="s">
        <v>674</v>
      </c>
      <c r="B85" s="591"/>
      <c r="C85" s="590" t="s">
        <v>673</v>
      </c>
      <c r="D85" s="587">
        <f>D86+D87</f>
        <v>60514.03</v>
      </c>
      <c r="E85" s="587">
        <f>E86+E87</f>
        <v>0</v>
      </c>
      <c r="F85" s="587">
        <f>F86+F87</f>
        <v>0</v>
      </c>
      <c r="G85" s="587">
        <f>G86+G87</f>
        <v>0</v>
      </c>
      <c r="H85" s="587">
        <f>H86+H87</f>
        <v>0</v>
      </c>
      <c r="I85" s="587">
        <f>I86+I87</f>
        <v>0</v>
      </c>
      <c r="J85" s="587">
        <f>J86+J87</f>
        <v>0</v>
      </c>
      <c r="K85" s="587">
        <f>K86+K87</f>
        <v>0</v>
      </c>
      <c r="L85" s="587">
        <f>L86+L87</f>
        <v>0</v>
      </c>
      <c r="M85" s="587">
        <f>M86+M87</f>
        <v>0</v>
      </c>
      <c r="N85" s="621">
        <f>SUM(G85,D85)</f>
        <v>60514.03</v>
      </c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2"/>
      <c r="AC85" s="632"/>
      <c r="AD85" s="632"/>
    </row>
    <row r="86" spans="1:30" ht="31.5">
      <c r="A86" s="591" t="s">
        <v>672</v>
      </c>
      <c r="B86" s="591" t="s">
        <v>671</v>
      </c>
      <c r="C86" s="590" t="s">
        <v>670</v>
      </c>
      <c r="D86" s="587">
        <v>37925.81</v>
      </c>
      <c r="E86" s="607"/>
      <c r="F86" s="607"/>
      <c r="G86" s="605">
        <v>0</v>
      </c>
      <c r="H86" s="607"/>
      <c r="I86" s="607"/>
      <c r="J86" s="607"/>
      <c r="K86" s="607"/>
      <c r="L86" s="607"/>
      <c r="M86" s="587"/>
      <c r="N86" s="621">
        <f>SUM(G86,D86)</f>
        <v>37925.81</v>
      </c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2"/>
      <c r="Z86" s="632"/>
      <c r="AA86" s="632"/>
      <c r="AB86" s="632"/>
      <c r="AC86" s="632"/>
      <c r="AD86" s="632"/>
    </row>
    <row r="87" spans="1:30" ht="31.5">
      <c r="A87" s="591" t="s">
        <v>669</v>
      </c>
      <c r="B87" s="591" t="s">
        <v>94</v>
      </c>
      <c r="C87" s="590" t="s">
        <v>668</v>
      </c>
      <c r="D87" s="587">
        <v>22588.22</v>
      </c>
      <c r="E87" s="607"/>
      <c r="F87" s="607"/>
      <c r="G87" s="605">
        <v>0</v>
      </c>
      <c r="H87" s="607"/>
      <c r="I87" s="607"/>
      <c r="J87" s="607"/>
      <c r="K87" s="607"/>
      <c r="L87" s="607"/>
      <c r="M87" s="587"/>
      <c r="N87" s="621">
        <f>SUM(G87,D87)</f>
        <v>22588.22</v>
      </c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632"/>
      <c r="Z87" s="632"/>
      <c r="AA87" s="632"/>
      <c r="AB87" s="632"/>
      <c r="AC87" s="632"/>
      <c r="AD87" s="632"/>
    </row>
    <row r="88" spans="1:30" ht="16.5">
      <c r="A88" s="591" t="s">
        <v>667</v>
      </c>
      <c r="B88" s="591"/>
      <c r="C88" s="633" t="s">
        <v>62</v>
      </c>
      <c r="D88" s="587">
        <f>D89</f>
        <v>162.07</v>
      </c>
      <c r="E88" s="587">
        <f>E89</f>
        <v>0</v>
      </c>
      <c r="F88" s="587">
        <f>F89</f>
        <v>0</v>
      </c>
      <c r="G88" s="587">
        <f>G89</f>
        <v>0</v>
      </c>
      <c r="H88" s="587">
        <f>H89</f>
        <v>0</v>
      </c>
      <c r="I88" s="587">
        <f>I89</f>
        <v>0</v>
      </c>
      <c r="J88" s="587">
        <f>J89</f>
        <v>0</v>
      </c>
      <c r="K88" s="587">
        <f>K89</f>
        <v>0</v>
      </c>
      <c r="L88" s="587">
        <f>L89</f>
        <v>0</v>
      </c>
      <c r="M88" s="587">
        <f>M89</f>
        <v>0</v>
      </c>
      <c r="N88" s="621">
        <f>SUM(G88,D88)</f>
        <v>162.07</v>
      </c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632"/>
      <c r="AB88" s="632"/>
      <c r="AC88" s="632"/>
      <c r="AD88" s="632"/>
    </row>
    <row r="89" spans="1:30" ht="31.5">
      <c r="A89" s="591" t="s">
        <v>666</v>
      </c>
      <c r="B89" s="591" t="s">
        <v>99</v>
      </c>
      <c r="C89" s="590" t="s">
        <v>665</v>
      </c>
      <c r="D89" s="587">
        <v>162.07</v>
      </c>
      <c r="E89" s="607"/>
      <c r="F89" s="607"/>
      <c r="G89" s="605">
        <f>H89+K89</f>
        <v>0</v>
      </c>
      <c r="H89" s="607"/>
      <c r="I89" s="607"/>
      <c r="J89" s="607"/>
      <c r="K89" s="607"/>
      <c r="L89" s="607"/>
      <c r="M89" s="606"/>
      <c r="N89" s="621">
        <f>SUM(G89,D89)</f>
        <v>162.07</v>
      </c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632"/>
      <c r="AD89" s="632"/>
    </row>
    <row r="90" spans="1:30" ht="35.25" customHeight="1">
      <c r="A90" s="591" t="s">
        <v>664</v>
      </c>
      <c r="B90" s="591" t="s">
        <v>444</v>
      </c>
      <c r="C90" s="631" t="s">
        <v>663</v>
      </c>
      <c r="D90" s="587">
        <v>161488.47</v>
      </c>
      <c r="E90" s="607"/>
      <c r="F90" s="607"/>
      <c r="G90" s="605">
        <f>H90+K90</f>
        <v>89034.02</v>
      </c>
      <c r="H90" s="587"/>
      <c r="I90" s="587"/>
      <c r="J90" s="587"/>
      <c r="K90" s="606">
        <v>89034.02</v>
      </c>
      <c r="L90" s="606">
        <v>89034.02</v>
      </c>
      <c r="M90" s="606"/>
      <c r="N90" s="621">
        <f>SUM(G90,D90)</f>
        <v>250522.49</v>
      </c>
      <c r="O90" s="632"/>
      <c r="P90" s="632"/>
      <c r="Q90" s="632"/>
      <c r="R90" s="632"/>
      <c r="S90" s="632"/>
      <c r="T90" s="632"/>
      <c r="U90" s="632"/>
      <c r="V90" s="632"/>
      <c r="W90" s="632"/>
      <c r="X90" s="632"/>
      <c r="Y90" s="632"/>
      <c r="Z90" s="632"/>
      <c r="AA90" s="632"/>
      <c r="AB90" s="632"/>
      <c r="AC90" s="632"/>
      <c r="AD90" s="632"/>
    </row>
    <row r="91" spans="1:30" ht="16.5">
      <c r="A91" s="591" t="s">
        <v>662</v>
      </c>
      <c r="B91" s="591" t="s">
        <v>66</v>
      </c>
      <c r="C91" s="631" t="s">
        <v>661</v>
      </c>
      <c r="D91" s="587">
        <v>34789.17</v>
      </c>
      <c r="E91" s="606"/>
      <c r="F91" s="606"/>
      <c r="G91" s="605">
        <f>H91+K91</f>
        <v>0</v>
      </c>
      <c r="H91" s="587"/>
      <c r="I91" s="587"/>
      <c r="J91" s="587"/>
      <c r="K91" s="587"/>
      <c r="L91" s="587"/>
      <c r="M91" s="587"/>
      <c r="N91" s="621">
        <f>SUM(G91,D91)</f>
        <v>34789.17</v>
      </c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632"/>
    </row>
    <row r="92" spans="1:14" s="582" customFormat="1" ht="31.5">
      <c r="A92" s="594">
        <v>2000000</v>
      </c>
      <c r="B92" s="594" t="s">
        <v>660</v>
      </c>
      <c r="C92" s="630" t="s">
        <v>659</v>
      </c>
      <c r="D92" s="592">
        <f>D93</f>
        <v>25703.67</v>
      </c>
      <c r="E92" s="592">
        <f>E93</f>
        <v>0</v>
      </c>
      <c r="F92" s="592">
        <f>F93</f>
        <v>0</v>
      </c>
      <c r="G92" s="592">
        <f>G93</f>
        <v>0</v>
      </c>
      <c r="H92" s="592">
        <f>H93</f>
        <v>0</v>
      </c>
      <c r="I92" s="592">
        <f>I93</f>
        <v>0</v>
      </c>
      <c r="J92" s="592">
        <f>J93</f>
        <v>0</v>
      </c>
      <c r="K92" s="592">
        <f>K93</f>
        <v>0</v>
      </c>
      <c r="L92" s="592">
        <f>L93</f>
        <v>0</v>
      </c>
      <c r="M92" s="592">
        <f>M93</f>
        <v>0</v>
      </c>
      <c r="N92" s="592">
        <f>D92+G92</f>
        <v>25703.67</v>
      </c>
    </row>
    <row r="93" spans="1:14" s="582" customFormat="1" ht="31.5">
      <c r="A93" s="594">
        <v>2010000</v>
      </c>
      <c r="B93" s="594" t="s">
        <v>660</v>
      </c>
      <c r="C93" s="630" t="s">
        <v>659</v>
      </c>
      <c r="D93" s="592">
        <f>D95</f>
        <v>25703.67</v>
      </c>
      <c r="E93" s="592">
        <f>E95</f>
        <v>0</v>
      </c>
      <c r="F93" s="592">
        <f>F95</f>
        <v>0</v>
      </c>
      <c r="G93" s="592">
        <f>G95</f>
        <v>0</v>
      </c>
      <c r="H93" s="592">
        <f>H95</f>
        <v>0</v>
      </c>
      <c r="I93" s="592">
        <f>I95</f>
        <v>0</v>
      </c>
      <c r="J93" s="592">
        <f>J95</f>
        <v>0</v>
      </c>
      <c r="K93" s="592">
        <f>K95</f>
        <v>0</v>
      </c>
      <c r="L93" s="592">
        <f>L95</f>
        <v>0</v>
      </c>
      <c r="M93" s="592">
        <f>M95</f>
        <v>0</v>
      </c>
      <c r="N93" s="592">
        <f>D93+G93</f>
        <v>25703.67</v>
      </c>
    </row>
    <row r="94" spans="1:14" s="582" customFormat="1" ht="31.5">
      <c r="A94" s="591" t="s">
        <v>658</v>
      </c>
      <c r="B94" s="591"/>
      <c r="C94" s="614" t="s">
        <v>657</v>
      </c>
      <c r="D94" s="588">
        <f>D95</f>
        <v>25703.67</v>
      </c>
      <c r="E94" s="589"/>
      <c r="F94" s="589"/>
      <c r="G94" s="588">
        <f>G95</f>
        <v>0</v>
      </c>
      <c r="H94" s="588">
        <f>H95</f>
        <v>0</v>
      </c>
      <c r="I94" s="588">
        <f>I95</f>
        <v>0</v>
      </c>
      <c r="J94" s="588">
        <f>J95</f>
        <v>0</v>
      </c>
      <c r="K94" s="588">
        <f>K95</f>
        <v>0</v>
      </c>
      <c r="L94" s="588">
        <f>L95</f>
        <v>0</v>
      </c>
      <c r="M94" s="588">
        <f>M95</f>
        <v>0</v>
      </c>
      <c r="N94" s="587">
        <f>SUM(G94,D94)</f>
        <v>25703.67</v>
      </c>
    </row>
    <row r="95" spans="1:14" s="582" customFormat="1" ht="47.25">
      <c r="A95" s="591" t="s">
        <v>656</v>
      </c>
      <c r="B95" s="591" t="s">
        <v>655</v>
      </c>
      <c r="C95" s="631" t="s">
        <v>654</v>
      </c>
      <c r="D95" s="587">
        <v>25703.67</v>
      </c>
      <c r="E95" s="606"/>
      <c r="F95" s="606"/>
      <c r="G95" s="587"/>
      <c r="H95" s="606"/>
      <c r="I95" s="606"/>
      <c r="J95" s="606"/>
      <c r="K95" s="606"/>
      <c r="L95" s="606"/>
      <c r="M95" s="606"/>
      <c r="N95" s="587">
        <f>SUM(G95,D95)</f>
        <v>25703.67</v>
      </c>
    </row>
    <row r="96" spans="1:14" s="582" customFormat="1" ht="31.5">
      <c r="A96" s="594">
        <v>2400000</v>
      </c>
      <c r="B96" s="594" t="s">
        <v>24</v>
      </c>
      <c r="C96" s="630" t="s">
        <v>442</v>
      </c>
      <c r="D96" s="592">
        <f>D97</f>
        <v>949191.2799999999</v>
      </c>
      <c r="E96" s="592">
        <f>E97</f>
        <v>0</v>
      </c>
      <c r="F96" s="592">
        <f>F97</f>
        <v>0</v>
      </c>
      <c r="G96" s="592">
        <f>G97</f>
        <v>42072.13</v>
      </c>
      <c r="H96" s="592">
        <f>H97</f>
        <v>0</v>
      </c>
      <c r="I96" s="592">
        <f>I97</f>
        <v>0</v>
      </c>
      <c r="J96" s="592">
        <f>J97</f>
        <v>0</v>
      </c>
      <c r="K96" s="592">
        <f>K97</f>
        <v>42072.13</v>
      </c>
      <c r="L96" s="592">
        <f>L97</f>
        <v>42072.13</v>
      </c>
      <c r="M96" s="592">
        <f>M97</f>
        <v>0</v>
      </c>
      <c r="N96" s="592">
        <f>D96+G96</f>
        <v>991263.4099999999</v>
      </c>
    </row>
    <row r="97" spans="1:14" s="582" customFormat="1" ht="31.5">
      <c r="A97" s="594">
        <v>2410000</v>
      </c>
      <c r="B97" s="594" t="s">
        <v>24</v>
      </c>
      <c r="C97" s="630" t="s">
        <v>442</v>
      </c>
      <c r="D97" s="592">
        <f>SUM(D98:D103)</f>
        <v>949191.2799999999</v>
      </c>
      <c r="E97" s="592">
        <f>SUM(E98:E103)</f>
        <v>0</v>
      </c>
      <c r="F97" s="592">
        <f>SUM(F98:F103)</f>
        <v>0</v>
      </c>
      <c r="G97" s="592">
        <f>SUM(G98:G103)</f>
        <v>42072.13</v>
      </c>
      <c r="H97" s="592">
        <f>SUM(H98:H103)</f>
        <v>0</v>
      </c>
      <c r="I97" s="592">
        <f>SUM(I98:I103)</f>
        <v>0</v>
      </c>
      <c r="J97" s="592">
        <f>SUM(J98:J103)</f>
        <v>0</v>
      </c>
      <c r="K97" s="592">
        <f>SUM(K98:K103)</f>
        <v>42072.13</v>
      </c>
      <c r="L97" s="592">
        <f>SUM(L98:L103)</f>
        <v>42072.13</v>
      </c>
      <c r="M97" s="592">
        <f>SUM(M98:M103)</f>
        <v>0</v>
      </c>
      <c r="N97" s="592">
        <f>D97+G97</f>
        <v>991263.4099999999</v>
      </c>
    </row>
    <row r="98" spans="1:14" ht="16.5">
      <c r="A98" s="591">
        <v>2414060</v>
      </c>
      <c r="B98" s="591" t="s">
        <v>441</v>
      </c>
      <c r="C98" s="625" t="s">
        <v>440</v>
      </c>
      <c r="D98" s="587">
        <v>480759.15</v>
      </c>
      <c r="E98" s="628"/>
      <c r="F98" s="628"/>
      <c r="G98" s="587">
        <f>H98+K98</f>
        <v>42072.13</v>
      </c>
      <c r="H98" s="628"/>
      <c r="I98" s="628"/>
      <c r="J98" s="628"/>
      <c r="K98" s="628">
        <v>42072.13</v>
      </c>
      <c r="L98" s="622">
        <v>42072.13</v>
      </c>
      <c r="M98" s="628"/>
      <c r="N98" s="621">
        <f>SUM(G98,D98)</f>
        <v>522831.28</v>
      </c>
    </row>
    <row r="99" spans="1:14" ht="16.5">
      <c r="A99" s="591">
        <v>2414070</v>
      </c>
      <c r="B99" s="591" t="s">
        <v>653</v>
      </c>
      <c r="C99" s="625" t="s">
        <v>652</v>
      </c>
      <c r="D99" s="587">
        <v>165770.1</v>
      </c>
      <c r="E99" s="628"/>
      <c r="F99" s="628"/>
      <c r="G99" s="587">
        <f>H99+K99</f>
        <v>0</v>
      </c>
      <c r="H99" s="628"/>
      <c r="I99" s="628"/>
      <c r="J99" s="628"/>
      <c r="K99" s="628"/>
      <c r="L99" s="629"/>
      <c r="M99" s="628"/>
      <c r="N99" s="621">
        <f>SUM(G99,D99)</f>
        <v>165770.1</v>
      </c>
    </row>
    <row r="100" spans="1:14" ht="16.5">
      <c r="A100" s="591">
        <v>2414080</v>
      </c>
      <c r="B100" s="591" t="s">
        <v>651</v>
      </c>
      <c r="C100" s="625" t="s">
        <v>650</v>
      </c>
      <c r="D100" s="587">
        <v>22717.7</v>
      </c>
      <c r="E100" s="628"/>
      <c r="F100" s="628"/>
      <c r="G100" s="587">
        <f>H100+K100</f>
        <v>0</v>
      </c>
      <c r="H100" s="628"/>
      <c r="I100" s="628"/>
      <c r="J100" s="628"/>
      <c r="K100" s="628"/>
      <c r="L100" s="628"/>
      <c r="M100" s="628"/>
      <c r="N100" s="621">
        <f>SUM(G100,D100)</f>
        <v>22717.7</v>
      </c>
    </row>
    <row r="101" spans="1:14" ht="33" customHeight="1">
      <c r="A101" s="591">
        <v>2414090</v>
      </c>
      <c r="B101" s="591" t="s">
        <v>649</v>
      </c>
      <c r="C101" s="625" t="s">
        <v>648</v>
      </c>
      <c r="D101" s="587">
        <v>70371.1</v>
      </c>
      <c r="E101" s="628"/>
      <c r="F101" s="628"/>
      <c r="G101" s="587">
        <f>H101+K101</f>
        <v>0</v>
      </c>
      <c r="H101" s="628"/>
      <c r="I101" s="628"/>
      <c r="J101" s="628"/>
      <c r="K101" s="628"/>
      <c r="L101" s="628"/>
      <c r="M101" s="628"/>
      <c r="N101" s="621">
        <f>SUM(G101,D101)</f>
        <v>70371.1</v>
      </c>
    </row>
    <row r="102" spans="1:14" ht="20.25" customHeight="1">
      <c r="A102" s="591" t="s">
        <v>647</v>
      </c>
      <c r="B102" s="591" t="s">
        <v>646</v>
      </c>
      <c r="C102" s="625" t="s">
        <v>645</v>
      </c>
      <c r="D102" s="623">
        <v>129148.63</v>
      </c>
      <c r="E102" s="622"/>
      <c r="F102" s="622"/>
      <c r="G102" s="623"/>
      <c r="H102" s="623"/>
      <c r="I102" s="623"/>
      <c r="J102" s="623"/>
      <c r="K102" s="623"/>
      <c r="L102" s="623"/>
      <c r="M102" s="623"/>
      <c r="N102" s="621">
        <f>SUM(G102,D102)</f>
        <v>129148.63</v>
      </c>
    </row>
    <row r="103" spans="1:14" ht="16.5">
      <c r="A103" s="591" t="s">
        <v>644</v>
      </c>
      <c r="B103" s="591" t="s">
        <v>60</v>
      </c>
      <c r="C103" s="590" t="s">
        <v>62</v>
      </c>
      <c r="D103" s="623">
        <v>80424.6</v>
      </c>
      <c r="E103" s="622"/>
      <c r="F103" s="622"/>
      <c r="G103" s="587"/>
      <c r="H103" s="622"/>
      <c r="I103" s="622"/>
      <c r="J103" s="622"/>
      <c r="K103" s="622"/>
      <c r="L103" s="622"/>
      <c r="M103" s="622"/>
      <c r="N103" s="621">
        <f>SUM(G103,D103)</f>
        <v>80424.6</v>
      </c>
    </row>
    <row r="104" spans="1:14" ht="63">
      <c r="A104" s="594" t="s">
        <v>607</v>
      </c>
      <c r="B104" s="594" t="s">
        <v>19</v>
      </c>
      <c r="C104" s="627" t="s">
        <v>20</v>
      </c>
      <c r="D104" s="610">
        <f>D105</f>
        <v>0</v>
      </c>
      <c r="E104" s="610">
        <f>E105</f>
        <v>0</v>
      </c>
      <c r="F104" s="610">
        <f>F105</f>
        <v>0</v>
      </c>
      <c r="G104" s="610">
        <f>G105</f>
        <v>720000</v>
      </c>
      <c r="H104" s="610">
        <f>H105</f>
        <v>0</v>
      </c>
      <c r="I104" s="610">
        <f>I105</f>
        <v>0</v>
      </c>
      <c r="J104" s="610">
        <f>J105</f>
        <v>0</v>
      </c>
      <c r="K104" s="610">
        <f>K105</f>
        <v>720000</v>
      </c>
      <c r="L104" s="610">
        <f>L105</f>
        <v>720000</v>
      </c>
      <c r="M104" s="610">
        <f>M105</f>
        <v>0</v>
      </c>
      <c r="N104" s="610">
        <f>D104+G104</f>
        <v>720000</v>
      </c>
    </row>
    <row r="105" spans="1:14" ht="63">
      <c r="A105" s="594" t="s">
        <v>606</v>
      </c>
      <c r="B105" s="594" t="s">
        <v>19</v>
      </c>
      <c r="C105" s="627" t="s">
        <v>20</v>
      </c>
      <c r="D105" s="610">
        <f>D106</f>
        <v>0</v>
      </c>
      <c r="E105" s="610">
        <f>E106</f>
        <v>0</v>
      </c>
      <c r="F105" s="610">
        <f>F106</f>
        <v>0</v>
      </c>
      <c r="G105" s="610">
        <f>G106</f>
        <v>720000</v>
      </c>
      <c r="H105" s="610">
        <f>H106</f>
        <v>0</v>
      </c>
      <c r="I105" s="610">
        <f>I106</f>
        <v>0</v>
      </c>
      <c r="J105" s="610">
        <f>J106</f>
        <v>0</v>
      </c>
      <c r="K105" s="610">
        <f>K106</f>
        <v>720000</v>
      </c>
      <c r="L105" s="610">
        <f>L106</f>
        <v>720000</v>
      </c>
      <c r="M105" s="610">
        <f>M106</f>
        <v>0</v>
      </c>
      <c r="N105" s="610">
        <f>D105+G105</f>
        <v>720000</v>
      </c>
    </row>
    <row r="106" spans="1:14" ht="31.5">
      <c r="A106" s="591" t="s">
        <v>643</v>
      </c>
      <c r="B106" s="591" t="s">
        <v>632</v>
      </c>
      <c r="C106" s="624" t="s">
        <v>631</v>
      </c>
      <c r="D106" s="623"/>
      <c r="E106" s="622"/>
      <c r="F106" s="622"/>
      <c r="G106" s="587">
        <f>H106+K106</f>
        <v>720000</v>
      </c>
      <c r="H106" s="622"/>
      <c r="I106" s="622"/>
      <c r="J106" s="622"/>
      <c r="K106" s="622">
        <v>720000</v>
      </c>
      <c r="L106" s="622">
        <v>720000</v>
      </c>
      <c r="M106" s="622"/>
      <c r="N106" s="621">
        <f>D106+G106</f>
        <v>720000</v>
      </c>
    </row>
    <row r="107" spans="1:14" s="609" customFormat="1" ht="31.5">
      <c r="A107" s="594">
        <v>4700000</v>
      </c>
      <c r="B107" s="594" t="s">
        <v>31</v>
      </c>
      <c r="C107" s="593" t="s">
        <v>32</v>
      </c>
      <c r="D107" s="610">
        <f>D108</f>
        <v>0</v>
      </c>
      <c r="E107" s="610">
        <f>E108</f>
        <v>0</v>
      </c>
      <c r="F107" s="610">
        <f>F108</f>
        <v>0</v>
      </c>
      <c r="G107" s="610">
        <f>G108</f>
        <v>60602926.830000006</v>
      </c>
      <c r="H107" s="610">
        <f>H108</f>
        <v>16413947.130000003</v>
      </c>
      <c r="I107" s="610">
        <f>I108</f>
        <v>0</v>
      </c>
      <c r="J107" s="610">
        <f>J108</f>
        <v>0</v>
      </c>
      <c r="K107" s="610">
        <f>K108</f>
        <v>44188979.699999996</v>
      </c>
      <c r="L107" s="610">
        <f>L108</f>
        <v>12228674.459999999</v>
      </c>
      <c r="M107" s="610">
        <f>M108</f>
        <v>0</v>
      </c>
      <c r="N107" s="626">
        <f>SUM(G107,D107)</f>
        <v>60602926.830000006</v>
      </c>
    </row>
    <row r="108" spans="1:14" s="609" customFormat="1" ht="31.5">
      <c r="A108" s="594">
        <v>4710000</v>
      </c>
      <c r="B108" s="594" t="s">
        <v>31</v>
      </c>
      <c r="C108" s="593" t="s">
        <v>32</v>
      </c>
      <c r="D108" s="610">
        <f>D109+D110+D111+D112+D113</f>
        <v>0</v>
      </c>
      <c r="E108" s="610">
        <f>E109+E110+E111+E112+E113</f>
        <v>0</v>
      </c>
      <c r="F108" s="610">
        <f>F109+F110+F111+F112+F113</f>
        <v>0</v>
      </c>
      <c r="G108" s="610">
        <f>G109+G110+G111+G112+G113</f>
        <v>60602926.830000006</v>
      </c>
      <c r="H108" s="610">
        <f>H109+H110+H111+H112+H113</f>
        <v>16413947.130000003</v>
      </c>
      <c r="I108" s="610">
        <f>I109+I110+I111+I112+I113</f>
        <v>0</v>
      </c>
      <c r="J108" s="610">
        <f>J109+J110+J111+J112+J113</f>
        <v>0</v>
      </c>
      <c r="K108" s="610">
        <f>K109+K110+K111+K112+K113</f>
        <v>44188979.699999996</v>
      </c>
      <c r="L108" s="610">
        <f>L109+L110+L111+L112+L113</f>
        <v>12228674.459999999</v>
      </c>
      <c r="M108" s="610">
        <f>M109+M110+M111+M112+M113</f>
        <v>0</v>
      </c>
      <c r="N108" s="610">
        <f>D108+G108</f>
        <v>60602926.830000006</v>
      </c>
    </row>
    <row r="109" spans="1:14" s="609" customFormat="1" ht="31.5">
      <c r="A109" s="591">
        <v>4716310</v>
      </c>
      <c r="B109" s="591" t="s">
        <v>642</v>
      </c>
      <c r="C109" s="625" t="s">
        <v>641</v>
      </c>
      <c r="D109" s="587"/>
      <c r="E109" s="605"/>
      <c r="F109" s="605"/>
      <c r="G109" s="588">
        <v>12228674.459999999</v>
      </c>
      <c r="H109" s="605"/>
      <c r="I109" s="605"/>
      <c r="J109" s="605"/>
      <c r="K109" s="606">
        <v>12228674.459999999</v>
      </c>
      <c r="L109" s="606">
        <v>12228674.459999999</v>
      </c>
      <c r="M109" s="606"/>
      <c r="N109" s="587">
        <f>SUM(G109,D109)</f>
        <v>12228674.459999999</v>
      </c>
    </row>
    <row r="110" spans="1:14" s="609" customFormat="1" ht="31.5">
      <c r="A110" s="591" t="s">
        <v>640</v>
      </c>
      <c r="B110" s="591">
        <v>170703</v>
      </c>
      <c r="C110" s="625" t="s">
        <v>639</v>
      </c>
      <c r="D110" s="587"/>
      <c r="E110" s="605"/>
      <c r="F110" s="605"/>
      <c r="G110" s="588">
        <v>44201830.93000001</v>
      </c>
      <c r="H110" s="606">
        <v>16413947.130000003</v>
      </c>
      <c r="I110" s="605"/>
      <c r="J110" s="605"/>
      <c r="K110" s="606">
        <v>27787883.8</v>
      </c>
      <c r="L110" s="606"/>
      <c r="M110" s="605"/>
      <c r="N110" s="587">
        <f>SUM(G110,D110)</f>
        <v>44201830.93000001</v>
      </c>
    </row>
    <row r="111" spans="1:14" s="609" customFormat="1" ht="31.5">
      <c r="A111" s="591" t="s">
        <v>638</v>
      </c>
      <c r="B111" s="591">
        <v>240601</v>
      </c>
      <c r="C111" s="625" t="s">
        <v>626</v>
      </c>
      <c r="D111" s="617"/>
      <c r="E111" s="615"/>
      <c r="F111" s="615"/>
      <c r="G111" s="588">
        <f>H111+K111</f>
        <v>2276809.08</v>
      </c>
      <c r="H111" s="616"/>
      <c r="I111" s="615"/>
      <c r="J111" s="615"/>
      <c r="K111" s="606">
        <f>996809.08+1280000</f>
        <v>2276809.08</v>
      </c>
      <c r="L111" s="616"/>
      <c r="M111" s="615"/>
      <c r="N111" s="587">
        <f>SUM(G111,D111)</f>
        <v>2276809.08</v>
      </c>
    </row>
    <row r="112" spans="1:14" s="609" customFormat="1" ht="18" customHeight="1">
      <c r="A112" s="591">
        <v>4719120</v>
      </c>
      <c r="B112" s="591" t="s">
        <v>624</v>
      </c>
      <c r="C112" s="625" t="s">
        <v>623</v>
      </c>
      <c r="D112" s="617"/>
      <c r="E112" s="615"/>
      <c r="F112" s="615"/>
      <c r="G112" s="588">
        <f>H112+K112</f>
        <v>585000</v>
      </c>
      <c r="H112" s="606"/>
      <c r="I112" s="605"/>
      <c r="J112" s="605"/>
      <c r="K112" s="606">
        <v>585000</v>
      </c>
      <c r="L112" s="616"/>
      <c r="M112" s="615"/>
      <c r="N112" s="587">
        <f>SUM(G112,D112)</f>
        <v>585000</v>
      </c>
    </row>
    <row r="113" spans="1:14" s="609" customFormat="1" ht="36" customHeight="1">
      <c r="A113" s="591">
        <v>4719130</v>
      </c>
      <c r="B113" s="591" t="s">
        <v>637</v>
      </c>
      <c r="C113" s="625" t="s">
        <v>636</v>
      </c>
      <c r="D113" s="617"/>
      <c r="E113" s="615"/>
      <c r="F113" s="615"/>
      <c r="G113" s="588">
        <f>H113+K113</f>
        <v>1310612.3599999999</v>
      </c>
      <c r="H113" s="606"/>
      <c r="I113" s="605"/>
      <c r="J113" s="605"/>
      <c r="K113" s="606">
        <f>460612.36+850000</f>
        <v>1310612.3599999999</v>
      </c>
      <c r="L113" s="616"/>
      <c r="M113" s="615"/>
      <c r="N113" s="587">
        <f>SUM(G113,D113)</f>
        <v>1310612.3599999999</v>
      </c>
    </row>
    <row r="114" spans="1:14" s="609" customFormat="1" ht="36" customHeight="1">
      <c r="A114" s="594" t="s">
        <v>635</v>
      </c>
      <c r="B114" s="594" t="s">
        <v>16</v>
      </c>
      <c r="C114" s="620" t="s">
        <v>437</v>
      </c>
      <c r="D114" s="610">
        <f>D115</f>
        <v>0</v>
      </c>
      <c r="E114" s="610">
        <f>E115</f>
        <v>0</v>
      </c>
      <c r="F114" s="610">
        <f>F115</f>
        <v>0</v>
      </c>
      <c r="G114" s="610">
        <f>G115</f>
        <v>653000</v>
      </c>
      <c r="H114" s="610">
        <f>H115</f>
        <v>0</v>
      </c>
      <c r="I114" s="610">
        <f>I115</f>
        <v>0</v>
      </c>
      <c r="J114" s="610">
        <f>J115</f>
        <v>0</v>
      </c>
      <c r="K114" s="610">
        <f>K115</f>
        <v>653000</v>
      </c>
      <c r="L114" s="610">
        <f>L115</f>
        <v>653000</v>
      </c>
      <c r="M114" s="610">
        <f>M115</f>
        <v>0</v>
      </c>
      <c r="N114" s="610">
        <f>D114+G114</f>
        <v>653000</v>
      </c>
    </row>
    <row r="115" spans="1:14" s="609" customFormat="1" ht="36" customHeight="1">
      <c r="A115" s="594" t="s">
        <v>634</v>
      </c>
      <c r="B115" s="594" t="s">
        <v>16</v>
      </c>
      <c r="C115" s="620" t="s">
        <v>437</v>
      </c>
      <c r="D115" s="610">
        <f>D116</f>
        <v>0</v>
      </c>
      <c r="E115" s="610">
        <f>E116</f>
        <v>0</v>
      </c>
      <c r="F115" s="610">
        <f>F116</f>
        <v>0</v>
      </c>
      <c r="G115" s="610">
        <f>G116</f>
        <v>653000</v>
      </c>
      <c r="H115" s="610">
        <f>H116</f>
        <v>0</v>
      </c>
      <c r="I115" s="610">
        <f>I116</f>
        <v>0</v>
      </c>
      <c r="J115" s="610">
        <f>J116</f>
        <v>0</v>
      </c>
      <c r="K115" s="610">
        <f>K116</f>
        <v>653000</v>
      </c>
      <c r="L115" s="610">
        <f>L116</f>
        <v>653000</v>
      </c>
      <c r="M115" s="610">
        <f>M116</f>
        <v>0</v>
      </c>
      <c r="N115" s="610">
        <f>D115+G115</f>
        <v>653000</v>
      </c>
    </row>
    <row r="116" spans="1:14" s="609" customFormat="1" ht="36" customHeight="1">
      <c r="A116" s="591" t="s">
        <v>633</v>
      </c>
      <c r="B116" s="591" t="s">
        <v>632</v>
      </c>
      <c r="C116" s="624" t="s">
        <v>631</v>
      </c>
      <c r="D116" s="623">
        <v>0</v>
      </c>
      <c r="E116" s="622">
        <v>0</v>
      </c>
      <c r="F116" s="622">
        <v>0</v>
      </c>
      <c r="G116" s="587">
        <v>653000</v>
      </c>
      <c r="H116" s="622">
        <v>0</v>
      </c>
      <c r="I116" s="622">
        <v>0</v>
      </c>
      <c r="J116" s="622">
        <v>0</v>
      </c>
      <c r="K116" s="622">
        <v>653000</v>
      </c>
      <c r="L116" s="622">
        <v>653000</v>
      </c>
      <c r="M116" s="622">
        <v>0</v>
      </c>
      <c r="N116" s="621">
        <f>D116+G116</f>
        <v>653000</v>
      </c>
    </row>
    <row r="117" spans="1:14" s="609" customFormat="1" ht="31.5">
      <c r="A117" s="594">
        <v>5300000</v>
      </c>
      <c r="B117" s="594" t="s">
        <v>48</v>
      </c>
      <c r="C117" s="620" t="s">
        <v>51</v>
      </c>
      <c r="D117" s="592">
        <f>D118</f>
        <v>0</v>
      </c>
      <c r="E117" s="592">
        <f>E118</f>
        <v>0</v>
      </c>
      <c r="F117" s="592">
        <f>F118</f>
        <v>0</v>
      </c>
      <c r="G117" s="592">
        <f>G118</f>
        <v>379120.62</v>
      </c>
      <c r="H117" s="592">
        <f>H118</f>
        <v>379120.62</v>
      </c>
      <c r="I117" s="592">
        <f>I118</f>
        <v>0</v>
      </c>
      <c r="J117" s="592">
        <f>J118</f>
        <v>0</v>
      </c>
      <c r="K117" s="592">
        <f>K118</f>
        <v>0</v>
      </c>
      <c r="L117" s="592">
        <f>L118</f>
        <v>0</v>
      </c>
      <c r="M117" s="592">
        <f>M118</f>
        <v>0</v>
      </c>
      <c r="N117" s="592">
        <f>SUM(G117,D117)</f>
        <v>379120.62</v>
      </c>
    </row>
    <row r="118" spans="1:14" s="609" customFormat="1" ht="31.5">
      <c r="A118" s="594">
        <v>5310000</v>
      </c>
      <c r="B118" s="594" t="s">
        <v>48</v>
      </c>
      <c r="C118" s="620" t="s">
        <v>51</v>
      </c>
      <c r="D118" s="592">
        <f>D119</f>
        <v>0</v>
      </c>
      <c r="E118" s="592">
        <f>E119</f>
        <v>0</v>
      </c>
      <c r="F118" s="592">
        <f>F119</f>
        <v>0</v>
      </c>
      <c r="G118" s="592">
        <f>G119</f>
        <v>379120.62</v>
      </c>
      <c r="H118" s="592">
        <f>H119</f>
        <v>379120.62</v>
      </c>
      <c r="I118" s="592">
        <f>I119</f>
        <v>0</v>
      </c>
      <c r="J118" s="592">
        <f>J119</f>
        <v>0</v>
      </c>
      <c r="K118" s="592">
        <f>K119</f>
        <v>0</v>
      </c>
      <c r="L118" s="592">
        <f>L119</f>
        <v>0</v>
      </c>
      <c r="M118" s="592">
        <f>M119</f>
        <v>0</v>
      </c>
      <c r="N118" s="592">
        <f>D118+G118</f>
        <v>379120.62</v>
      </c>
    </row>
    <row r="119" spans="1:14" s="609" customFormat="1" ht="31.5">
      <c r="A119" s="591" t="s">
        <v>630</v>
      </c>
      <c r="B119" s="591" t="s">
        <v>629</v>
      </c>
      <c r="C119" s="613" t="s">
        <v>628</v>
      </c>
      <c r="D119" s="587"/>
      <c r="E119" s="612"/>
      <c r="F119" s="612"/>
      <c r="G119" s="587">
        <v>379120.62</v>
      </c>
      <c r="H119" s="612">
        <v>379120.62</v>
      </c>
      <c r="I119" s="612"/>
      <c r="J119" s="612"/>
      <c r="K119" s="612"/>
      <c r="L119" s="612"/>
      <c r="M119" s="612"/>
      <c r="N119" s="587">
        <f>SUM(G119,D119)</f>
        <v>379120.62</v>
      </c>
    </row>
    <row r="120" spans="1:14" s="609" customFormat="1" ht="31.5">
      <c r="A120" s="594" t="s">
        <v>601</v>
      </c>
      <c r="B120" s="594" t="s">
        <v>599</v>
      </c>
      <c r="C120" s="620" t="s">
        <v>598</v>
      </c>
      <c r="D120" s="592">
        <f>D121</f>
        <v>0</v>
      </c>
      <c r="E120" s="592">
        <f>E121</f>
        <v>0</v>
      </c>
      <c r="F120" s="592">
        <f>F121</f>
        <v>0</v>
      </c>
      <c r="G120" s="592">
        <f>G121</f>
        <v>1003208</v>
      </c>
      <c r="H120" s="592">
        <f>H121</f>
        <v>281290.45999999996</v>
      </c>
      <c r="I120" s="592">
        <f>I121</f>
        <v>0</v>
      </c>
      <c r="J120" s="592">
        <f>J121</f>
        <v>0</v>
      </c>
      <c r="K120" s="592">
        <f>K121</f>
        <v>721917.54</v>
      </c>
      <c r="L120" s="592">
        <f>L121</f>
        <v>0</v>
      </c>
      <c r="M120" s="592">
        <f>M121</f>
        <v>0</v>
      </c>
      <c r="N120" s="592">
        <f>D120+G120</f>
        <v>1003208</v>
      </c>
    </row>
    <row r="121" spans="1:14" s="609" customFormat="1" ht="31.5">
      <c r="A121" s="594" t="s">
        <v>600</v>
      </c>
      <c r="B121" s="594" t="s">
        <v>599</v>
      </c>
      <c r="C121" s="620" t="s">
        <v>598</v>
      </c>
      <c r="D121" s="592">
        <f>D122+D123+D124+D125</f>
        <v>0</v>
      </c>
      <c r="E121" s="592">
        <f>E122+E123+E124+E125</f>
        <v>0</v>
      </c>
      <c r="F121" s="592">
        <f>F122+F123+F124+F125</f>
        <v>0</v>
      </c>
      <c r="G121" s="592">
        <f>G122+G123+G124+G125</f>
        <v>1003208</v>
      </c>
      <c r="H121" s="592">
        <f>H122+H123+H124+H125</f>
        <v>281290.45999999996</v>
      </c>
      <c r="I121" s="592">
        <f>I122+I123+I124+I125</f>
        <v>0</v>
      </c>
      <c r="J121" s="592">
        <f>J122+J123+J124+J125</f>
        <v>0</v>
      </c>
      <c r="K121" s="592">
        <f>K122+K123+K124+K125</f>
        <v>721917.54</v>
      </c>
      <c r="L121" s="592">
        <f>L122+L123+L124+L125</f>
        <v>0</v>
      </c>
      <c r="M121" s="592">
        <f>M122+M123+M124+M125</f>
        <v>0</v>
      </c>
      <c r="N121" s="592">
        <f>D121+G121</f>
        <v>1003208</v>
      </c>
    </row>
    <row r="122" spans="1:14" s="609" customFormat="1" ht="31.5">
      <c r="A122" s="591" t="s">
        <v>627</v>
      </c>
      <c r="B122" s="591">
        <v>240601</v>
      </c>
      <c r="C122" s="590" t="s">
        <v>626</v>
      </c>
      <c r="D122" s="617"/>
      <c r="E122" s="615"/>
      <c r="F122" s="615"/>
      <c r="G122" s="588">
        <f>H122+K122</f>
        <v>30000</v>
      </c>
      <c r="H122" s="606"/>
      <c r="I122" s="605"/>
      <c r="J122" s="605"/>
      <c r="K122" s="606">
        <v>30000</v>
      </c>
      <c r="L122" s="606"/>
      <c r="M122" s="605"/>
      <c r="N122" s="587">
        <f>D122+G122</f>
        <v>30000</v>
      </c>
    </row>
    <row r="123" spans="1:14" s="609" customFormat="1" ht="16.5">
      <c r="A123" s="591" t="s">
        <v>625</v>
      </c>
      <c r="B123" s="591" t="s">
        <v>624</v>
      </c>
      <c r="C123" s="590" t="s">
        <v>623</v>
      </c>
      <c r="D123" s="617"/>
      <c r="E123" s="615"/>
      <c r="F123" s="615"/>
      <c r="G123" s="588">
        <f>H123+K123</f>
        <v>600000</v>
      </c>
      <c r="H123" s="606"/>
      <c r="I123" s="605"/>
      <c r="J123" s="605"/>
      <c r="K123" s="606">
        <v>600000</v>
      </c>
      <c r="L123" s="606"/>
      <c r="M123" s="605"/>
      <c r="N123" s="587">
        <f>D123+G123</f>
        <v>600000</v>
      </c>
    </row>
    <row r="124" spans="1:14" s="609" customFormat="1" ht="36" customHeight="1">
      <c r="A124" s="591" t="s">
        <v>622</v>
      </c>
      <c r="B124" s="619" t="s">
        <v>621</v>
      </c>
      <c r="C124" s="618" t="s">
        <v>620</v>
      </c>
      <c r="D124" s="617"/>
      <c r="E124" s="615"/>
      <c r="F124" s="615"/>
      <c r="G124" s="588">
        <f>H124+K124</f>
        <v>281290.45999999996</v>
      </c>
      <c r="H124" s="606">
        <f>32000+199290.46+50000</f>
        <v>281290.45999999996</v>
      </c>
      <c r="I124" s="605"/>
      <c r="J124" s="605"/>
      <c r="K124" s="606"/>
      <c r="L124" s="606"/>
      <c r="M124" s="605"/>
      <c r="N124" s="587">
        <f>D124+G124</f>
        <v>281290.45999999996</v>
      </c>
    </row>
    <row r="125" spans="1:14" s="609" customFormat="1" ht="173.25">
      <c r="A125" s="591" t="s">
        <v>619</v>
      </c>
      <c r="B125" s="619" t="s">
        <v>618</v>
      </c>
      <c r="C125" s="618" t="s">
        <v>617</v>
      </c>
      <c r="D125" s="617"/>
      <c r="E125" s="615"/>
      <c r="F125" s="615"/>
      <c r="G125" s="588">
        <f>H125+K125</f>
        <v>91917.54</v>
      </c>
      <c r="H125" s="606"/>
      <c r="I125" s="605"/>
      <c r="J125" s="605"/>
      <c r="K125" s="606">
        <v>91917.54</v>
      </c>
      <c r="L125" s="616"/>
      <c r="M125" s="615"/>
      <c r="N125" s="587">
        <f>D125+G125</f>
        <v>91917.54</v>
      </c>
    </row>
    <row r="126" spans="1:14" s="609" customFormat="1" ht="47.25">
      <c r="A126" s="594">
        <v>6700000</v>
      </c>
      <c r="B126" s="594" t="s">
        <v>52</v>
      </c>
      <c r="C126" s="593" t="s">
        <v>53</v>
      </c>
      <c r="D126" s="592">
        <f>D127</f>
        <v>13826.55</v>
      </c>
      <c r="E126" s="592">
        <f>E127</f>
        <v>0</v>
      </c>
      <c r="F126" s="592">
        <f>F127</f>
        <v>0</v>
      </c>
      <c r="G126" s="592">
        <f>G127</f>
        <v>40000</v>
      </c>
      <c r="H126" s="592">
        <f>H127</f>
        <v>0</v>
      </c>
      <c r="I126" s="592">
        <f>I127</f>
        <v>0</v>
      </c>
      <c r="J126" s="592">
        <f>J127</f>
        <v>0</v>
      </c>
      <c r="K126" s="592">
        <f>K127</f>
        <v>40000</v>
      </c>
      <c r="L126" s="592">
        <f>L127</f>
        <v>40000</v>
      </c>
      <c r="M126" s="592">
        <f>M127</f>
        <v>0</v>
      </c>
      <c r="N126" s="592">
        <f>D126+G126</f>
        <v>53826.55</v>
      </c>
    </row>
    <row r="127" spans="1:14" s="609" customFormat="1" ht="47.25">
      <c r="A127" s="594">
        <v>6710000</v>
      </c>
      <c r="B127" s="594" t="s">
        <v>52</v>
      </c>
      <c r="C127" s="593" t="s">
        <v>53</v>
      </c>
      <c r="D127" s="592">
        <f>D128+D129</f>
        <v>13826.55</v>
      </c>
      <c r="E127" s="592">
        <f>E128+E129</f>
        <v>0</v>
      </c>
      <c r="F127" s="592">
        <f>F128+F129</f>
        <v>0</v>
      </c>
      <c r="G127" s="592">
        <f>G128+G129</f>
        <v>40000</v>
      </c>
      <c r="H127" s="592">
        <f>H128+H129</f>
        <v>0</v>
      </c>
      <c r="I127" s="592">
        <f>I128+I129</f>
        <v>0</v>
      </c>
      <c r="J127" s="592">
        <f>J128+J129</f>
        <v>0</v>
      </c>
      <c r="K127" s="592">
        <f>K128+K129</f>
        <v>40000</v>
      </c>
      <c r="L127" s="592">
        <f>L128+L129</f>
        <v>40000</v>
      </c>
      <c r="M127" s="592">
        <f>M128+M129</f>
        <v>0</v>
      </c>
      <c r="N127" s="592">
        <f>D127+G127</f>
        <v>53826.55</v>
      </c>
    </row>
    <row r="128" spans="1:14" s="609" customFormat="1" ht="47.25">
      <c r="A128" s="591" t="s">
        <v>616</v>
      </c>
      <c r="B128" s="591" t="s">
        <v>54</v>
      </c>
      <c r="C128" s="614" t="s">
        <v>615</v>
      </c>
      <c r="D128" s="605"/>
      <c r="E128" s="612"/>
      <c r="F128" s="612"/>
      <c r="G128" s="587">
        <f>H128+K128</f>
        <v>40000</v>
      </c>
      <c r="H128" s="612"/>
      <c r="I128" s="612"/>
      <c r="J128" s="612"/>
      <c r="K128" s="612">
        <v>40000</v>
      </c>
      <c r="L128" s="612">
        <v>40000</v>
      </c>
      <c r="M128" s="612"/>
      <c r="N128" s="587">
        <f>SUM(G128,D128)</f>
        <v>40000</v>
      </c>
    </row>
    <row r="129" spans="1:14" s="609" customFormat="1" ht="16.5">
      <c r="A129" s="591" t="s">
        <v>614</v>
      </c>
      <c r="B129" s="591" t="s">
        <v>79</v>
      </c>
      <c r="C129" s="613" t="s">
        <v>613</v>
      </c>
      <c r="D129" s="605">
        <v>13826.55</v>
      </c>
      <c r="E129" s="612"/>
      <c r="F129" s="612"/>
      <c r="G129" s="587"/>
      <c r="H129" s="612"/>
      <c r="I129" s="612"/>
      <c r="J129" s="612"/>
      <c r="K129" s="612"/>
      <c r="L129" s="612"/>
      <c r="M129" s="612"/>
      <c r="N129" s="587">
        <f>SUM(G129,D129)</f>
        <v>13826.55</v>
      </c>
    </row>
    <row r="130" spans="1:14" s="609" customFormat="1" ht="31.5">
      <c r="A130" s="594">
        <v>7300000</v>
      </c>
      <c r="B130" s="594" t="s">
        <v>33</v>
      </c>
      <c r="C130" s="611" t="s">
        <v>34</v>
      </c>
      <c r="D130" s="610">
        <f>D131</f>
        <v>195429.6</v>
      </c>
      <c r="E130" s="610">
        <f>E131</f>
        <v>0</v>
      </c>
      <c r="F130" s="610">
        <f>F131</f>
        <v>0</v>
      </c>
      <c r="G130" s="610">
        <f>G131</f>
        <v>0</v>
      </c>
      <c r="H130" s="610">
        <f>H131</f>
        <v>0</v>
      </c>
      <c r="I130" s="610">
        <f>I131</f>
        <v>0</v>
      </c>
      <c r="J130" s="610">
        <f>J131</f>
        <v>0</v>
      </c>
      <c r="K130" s="610">
        <f>K131</f>
        <v>0</v>
      </c>
      <c r="L130" s="610">
        <f>L131</f>
        <v>0</v>
      </c>
      <c r="M130" s="610">
        <f>M131</f>
        <v>0</v>
      </c>
      <c r="N130" s="610">
        <f>D130+G130</f>
        <v>195429.6</v>
      </c>
    </row>
    <row r="131" spans="1:14" s="609" customFormat="1" ht="31.5">
      <c r="A131" s="594">
        <v>7310000</v>
      </c>
      <c r="B131" s="594" t="s">
        <v>33</v>
      </c>
      <c r="C131" s="611" t="s">
        <v>34</v>
      </c>
      <c r="D131" s="610">
        <f>D132+D133+D134</f>
        <v>195429.6</v>
      </c>
      <c r="E131" s="610">
        <f>E132+E133+E134</f>
        <v>0</v>
      </c>
      <c r="F131" s="610">
        <f>F132+F133+F134</f>
        <v>0</v>
      </c>
      <c r="G131" s="610">
        <f>G132+G133+G134</f>
        <v>0</v>
      </c>
      <c r="H131" s="610">
        <f>H132+H133+H134</f>
        <v>0</v>
      </c>
      <c r="I131" s="610">
        <f>I132+I133+I134</f>
        <v>0</v>
      </c>
      <c r="J131" s="610">
        <f>J132+J133+J134</f>
        <v>0</v>
      </c>
      <c r="K131" s="610">
        <f>K132+K133+K134</f>
        <v>0</v>
      </c>
      <c r="L131" s="610">
        <f>L132+L133+L134</f>
        <v>0</v>
      </c>
      <c r="M131" s="610">
        <f>M132+M133+M134</f>
        <v>0</v>
      </c>
      <c r="N131" s="610">
        <f>D131+G131</f>
        <v>195429.6</v>
      </c>
    </row>
    <row r="132" spans="1:14" s="609" customFormat="1" ht="31.5">
      <c r="A132" s="591" t="s">
        <v>612</v>
      </c>
      <c r="B132" s="591" t="s">
        <v>36</v>
      </c>
      <c r="C132" s="590" t="s">
        <v>611</v>
      </c>
      <c r="D132" s="607">
        <v>134369.6</v>
      </c>
      <c r="E132" s="606"/>
      <c r="F132" s="606"/>
      <c r="G132" s="605"/>
      <c r="H132" s="604"/>
      <c r="I132" s="604"/>
      <c r="J132" s="604"/>
      <c r="K132" s="604"/>
      <c r="L132" s="604"/>
      <c r="M132" s="604"/>
      <c r="N132" s="587">
        <f>SUM(G132,D132)</f>
        <v>134369.6</v>
      </c>
    </row>
    <row r="133" spans="1:14" s="609" customFormat="1" ht="31.5">
      <c r="A133" s="591" t="s">
        <v>610</v>
      </c>
      <c r="B133" s="591" t="s">
        <v>39</v>
      </c>
      <c r="C133" s="590" t="s">
        <v>40</v>
      </c>
      <c r="D133" s="607">
        <v>46060</v>
      </c>
      <c r="E133" s="606"/>
      <c r="F133" s="606"/>
      <c r="G133" s="605"/>
      <c r="H133" s="604"/>
      <c r="I133" s="604"/>
      <c r="J133" s="604"/>
      <c r="K133" s="604"/>
      <c r="L133" s="604"/>
      <c r="M133" s="604"/>
      <c r="N133" s="587">
        <f>SUM(G133,D133)</f>
        <v>46060</v>
      </c>
    </row>
    <row r="134" spans="1:14" ht="16.5">
      <c r="A134" s="591" t="s">
        <v>609</v>
      </c>
      <c r="B134" s="591" t="s">
        <v>60</v>
      </c>
      <c r="C134" s="608" t="s">
        <v>62</v>
      </c>
      <c r="D134" s="607">
        <v>15000</v>
      </c>
      <c r="E134" s="606"/>
      <c r="F134" s="606"/>
      <c r="G134" s="605"/>
      <c r="H134" s="604"/>
      <c r="I134" s="604"/>
      <c r="J134" s="604"/>
      <c r="K134" s="604"/>
      <c r="L134" s="604"/>
      <c r="M134" s="604"/>
      <c r="N134" s="587">
        <f>SUM(G134,D134)</f>
        <v>15000</v>
      </c>
    </row>
    <row r="135" spans="1:14" s="582" customFormat="1" ht="18.75">
      <c r="A135" s="603"/>
      <c r="B135" s="602"/>
      <c r="C135" s="601" t="s">
        <v>608</v>
      </c>
      <c r="D135" s="600">
        <f>D12+D15+D18+D23+D26+D45+D59+D77+D92+D96+D104+D107+D114+D117+D120+D126+D130</f>
        <v>12268611.83</v>
      </c>
      <c r="E135" s="600">
        <f>E12+E15+E18+E23+E26+E45+E59+E77+E92+E96+E104+E107+E114+E117+E120+E126+E130</f>
        <v>0</v>
      </c>
      <c r="F135" s="600">
        <f>F12+F15+F18+F23+F26+F45+F59+F77+F92+F96+F104+F107+F114+F117+F120+F126+F130</f>
        <v>0</v>
      </c>
      <c r="G135" s="600">
        <f>G12+G15+G18+G23+G26+G45+G59+G77+G92+G96+G104+G107+G114+G117+G120+G126+G130</f>
        <v>69429417.9</v>
      </c>
      <c r="H135" s="600">
        <f>H12+H15+H18+H23+H26+H45+H59+H77+H92+H96+H104+H107+H114+H117+H120+H126+H130</f>
        <v>17114258.210000005</v>
      </c>
      <c r="I135" s="600">
        <f>I12+I15+I18+I23+I26+I45+I59+I77+I92+I96+I104+I107+I114+I117+I120+I126+I130</f>
        <v>0</v>
      </c>
      <c r="J135" s="600">
        <f>J12+J15+J18+J23+J26+J45+J59+J77+J92+J96+J104+J107+J114+J117+J120+J126+J130</f>
        <v>0</v>
      </c>
      <c r="K135" s="600">
        <f>K12+K15+K18+K23+K26+K45+K59+K77+K92+K96+K104+K107+K114+K117+K120+K126+K130</f>
        <v>52315159.69</v>
      </c>
      <c r="L135" s="600">
        <f>L12+L15+L18+L23+L26+L45+L59+L77+L92+L96+L104+L107+L114+L117+L120+L126+L130</f>
        <v>19632936.91</v>
      </c>
      <c r="M135" s="600">
        <f>M12+M15+M18+M23+M26+M45+M59+M77+M92+M96+M104+M107+M114+M117+M120+M126+M130</f>
        <v>0</v>
      </c>
      <c r="N135" s="600">
        <f>N12+N15+N18+N23+N26+N45+N59+N77+N92+N96+N104+N107+N114+N117+N120+N126+N130</f>
        <v>81698029.73</v>
      </c>
    </row>
    <row r="136" spans="1:14" s="582" customFormat="1" ht="16.5">
      <c r="A136" s="586"/>
      <c r="B136" s="599"/>
      <c r="C136" s="598" t="s">
        <v>587</v>
      </c>
      <c r="D136" s="592">
        <f>D137+D141+D145+D148</f>
        <v>223077.07</v>
      </c>
      <c r="E136" s="592">
        <f>E137+E141+E145+E148</f>
        <v>0</v>
      </c>
      <c r="F136" s="592">
        <f>F137+F141+F145+F148</f>
        <v>0</v>
      </c>
      <c r="G136" s="592">
        <f>G137+G141+G145+G148</f>
        <v>1061572.8</v>
      </c>
      <c r="H136" s="592">
        <f>H137+H141+H145+H148</f>
        <v>300000</v>
      </c>
      <c r="I136" s="592">
        <f>I137+I141+I145+I148</f>
        <v>0</v>
      </c>
      <c r="J136" s="592">
        <f>J137+J141+J145+J148</f>
        <v>0</v>
      </c>
      <c r="K136" s="592">
        <f>K137+K141+K145+K148</f>
        <v>761572.8</v>
      </c>
      <c r="L136" s="592">
        <f>L137+L141+L145+L148</f>
        <v>761572.8</v>
      </c>
      <c r="M136" s="592">
        <f>M137+M141+M145+M148</f>
        <v>0</v>
      </c>
      <c r="N136" s="592">
        <f>N137+N141+N145+N148</f>
        <v>1284649.87</v>
      </c>
    </row>
    <row r="137" spans="1:14" s="582" customFormat="1" ht="63">
      <c r="A137" s="594" t="s">
        <v>607</v>
      </c>
      <c r="B137" s="594" t="s">
        <v>19</v>
      </c>
      <c r="C137" s="593" t="s">
        <v>20</v>
      </c>
      <c r="D137" s="592">
        <f>D138</f>
        <v>39160.46</v>
      </c>
      <c r="E137" s="592">
        <f>E138</f>
        <v>0</v>
      </c>
      <c r="F137" s="592">
        <f>F138</f>
        <v>0</v>
      </c>
      <c r="G137" s="592">
        <f>G138</f>
        <v>34714.8</v>
      </c>
      <c r="H137" s="592">
        <f>H138</f>
        <v>0</v>
      </c>
      <c r="I137" s="592">
        <f>I138</f>
        <v>0</v>
      </c>
      <c r="J137" s="592">
        <f>J138</f>
        <v>0</v>
      </c>
      <c r="K137" s="592">
        <f>K138</f>
        <v>34714.8</v>
      </c>
      <c r="L137" s="592">
        <f>L138</f>
        <v>34714.8</v>
      </c>
      <c r="M137" s="592">
        <f>M138</f>
        <v>0</v>
      </c>
      <c r="N137" s="592">
        <f>D137+G137</f>
        <v>73875.26000000001</v>
      </c>
    </row>
    <row r="138" spans="1:14" s="582" customFormat="1" ht="63">
      <c r="A138" s="594" t="s">
        <v>606</v>
      </c>
      <c r="B138" s="594" t="s">
        <v>19</v>
      </c>
      <c r="C138" s="593" t="s">
        <v>20</v>
      </c>
      <c r="D138" s="592">
        <f>D139+D140</f>
        <v>39160.46</v>
      </c>
      <c r="E138" s="592">
        <f>E139+E140</f>
        <v>0</v>
      </c>
      <c r="F138" s="592">
        <f>F139+F140</f>
        <v>0</v>
      </c>
      <c r="G138" s="592">
        <f>G139+G140</f>
        <v>34714.8</v>
      </c>
      <c r="H138" s="592">
        <f>H139+H140</f>
        <v>0</v>
      </c>
      <c r="I138" s="592">
        <f>I139+I140</f>
        <v>0</v>
      </c>
      <c r="J138" s="592">
        <f>J139+J140</f>
        <v>0</v>
      </c>
      <c r="K138" s="592">
        <f>K139+K140</f>
        <v>34714.8</v>
      </c>
      <c r="L138" s="592">
        <f>L139+L140</f>
        <v>34714.8</v>
      </c>
      <c r="M138" s="592">
        <f>M139+M140</f>
        <v>0</v>
      </c>
      <c r="N138" s="592">
        <f>D138+G138</f>
        <v>73875.26000000001</v>
      </c>
    </row>
    <row r="139" spans="1:14" s="582" customFormat="1" ht="63">
      <c r="A139" s="596" t="s">
        <v>605</v>
      </c>
      <c r="B139" s="597" t="s">
        <v>21</v>
      </c>
      <c r="C139" s="590" t="s">
        <v>438</v>
      </c>
      <c r="D139" s="588"/>
      <c r="E139" s="588"/>
      <c r="F139" s="588"/>
      <c r="G139" s="588">
        <f>H139+K139</f>
        <v>34714.8</v>
      </c>
      <c r="H139" s="588"/>
      <c r="I139" s="588"/>
      <c r="J139" s="588"/>
      <c r="K139" s="589">
        <v>34714.8</v>
      </c>
      <c r="L139" s="589">
        <v>34714.8</v>
      </c>
      <c r="M139" s="588"/>
      <c r="N139" s="588">
        <f>D139+G139</f>
        <v>34714.8</v>
      </c>
    </row>
    <row r="140" spans="1:14" s="582" customFormat="1" ht="63">
      <c r="A140" s="596" t="s">
        <v>605</v>
      </c>
      <c r="B140" s="597" t="s">
        <v>21</v>
      </c>
      <c r="C140" s="590" t="s">
        <v>604</v>
      </c>
      <c r="D140" s="588">
        <v>39160.46</v>
      </c>
      <c r="E140" s="588"/>
      <c r="F140" s="588"/>
      <c r="G140" s="588"/>
      <c r="H140" s="588"/>
      <c r="I140" s="588"/>
      <c r="J140" s="588"/>
      <c r="K140" s="588"/>
      <c r="L140" s="588"/>
      <c r="M140" s="588"/>
      <c r="N140" s="588">
        <f>D140+G140</f>
        <v>39160.46</v>
      </c>
    </row>
    <row r="141" spans="1:14" s="582" customFormat="1" ht="31.5">
      <c r="A141" s="594">
        <v>4700000</v>
      </c>
      <c r="B141" s="594" t="s">
        <v>31</v>
      </c>
      <c r="C141" s="593" t="s">
        <v>32</v>
      </c>
      <c r="D141" s="592">
        <f>D142</f>
        <v>61845.61</v>
      </c>
      <c r="E141" s="592">
        <f>E142</f>
        <v>0</v>
      </c>
      <c r="F141" s="592">
        <f>F142</f>
        <v>0</v>
      </c>
      <c r="G141" s="592">
        <f>G142</f>
        <v>170000</v>
      </c>
      <c r="H141" s="592">
        <f>H142</f>
        <v>0</v>
      </c>
      <c r="I141" s="592">
        <f>I142</f>
        <v>0</v>
      </c>
      <c r="J141" s="592">
        <f>J142</f>
        <v>0</v>
      </c>
      <c r="K141" s="592">
        <f>K142</f>
        <v>170000</v>
      </c>
      <c r="L141" s="592">
        <f>L142</f>
        <v>170000</v>
      </c>
      <c r="M141" s="592">
        <f>M142</f>
        <v>0</v>
      </c>
      <c r="N141" s="592">
        <f>D141+G141</f>
        <v>231845.61</v>
      </c>
    </row>
    <row r="142" spans="1:14" s="582" customFormat="1" ht="31.5">
      <c r="A142" s="594">
        <v>4710000</v>
      </c>
      <c r="B142" s="594" t="s">
        <v>31</v>
      </c>
      <c r="C142" s="593" t="s">
        <v>32</v>
      </c>
      <c r="D142" s="592">
        <f>D143+D144</f>
        <v>61845.61</v>
      </c>
      <c r="E142" s="592">
        <f>E143+E144</f>
        <v>0</v>
      </c>
      <c r="F142" s="592">
        <f>F143+F144</f>
        <v>0</v>
      </c>
      <c r="G142" s="592">
        <f>G143+G144</f>
        <v>170000</v>
      </c>
      <c r="H142" s="592">
        <f>H143+H144</f>
        <v>0</v>
      </c>
      <c r="I142" s="592">
        <f>I143+I144</f>
        <v>0</v>
      </c>
      <c r="J142" s="592">
        <f>J143+J144</f>
        <v>0</v>
      </c>
      <c r="K142" s="592">
        <f>K143+K144</f>
        <v>170000</v>
      </c>
      <c r="L142" s="592">
        <f>L143+L144</f>
        <v>170000</v>
      </c>
      <c r="M142" s="592">
        <f>M143+M144</f>
        <v>0</v>
      </c>
      <c r="N142" s="592">
        <f>D142+G142</f>
        <v>231845.61</v>
      </c>
    </row>
    <row r="143" spans="1:14" ht="96" customHeight="1">
      <c r="A143" s="596" t="s">
        <v>603</v>
      </c>
      <c r="B143" s="591" t="s">
        <v>21</v>
      </c>
      <c r="C143" s="590" t="s">
        <v>487</v>
      </c>
      <c r="D143" s="588"/>
      <c r="E143" s="588"/>
      <c r="F143" s="588"/>
      <c r="G143" s="588">
        <f>H143+K143</f>
        <v>170000</v>
      </c>
      <c r="H143" s="589"/>
      <c r="I143" s="589"/>
      <c r="J143" s="589"/>
      <c r="K143" s="589">
        <v>170000</v>
      </c>
      <c r="L143" s="589">
        <v>170000</v>
      </c>
      <c r="M143" s="588"/>
      <c r="N143" s="587">
        <f>SUM(G143,D143)</f>
        <v>170000</v>
      </c>
    </row>
    <row r="144" spans="1:14" ht="78.75">
      <c r="A144" s="596" t="s">
        <v>603</v>
      </c>
      <c r="B144" s="591" t="s">
        <v>21</v>
      </c>
      <c r="C144" s="590" t="s">
        <v>602</v>
      </c>
      <c r="D144" s="588">
        <v>61845.61</v>
      </c>
      <c r="E144" s="588"/>
      <c r="F144" s="588"/>
      <c r="G144" s="588">
        <f>H144+K144</f>
        <v>0</v>
      </c>
      <c r="H144" s="588"/>
      <c r="I144" s="588"/>
      <c r="J144" s="588"/>
      <c r="K144" s="589"/>
      <c r="L144" s="589"/>
      <c r="M144" s="588"/>
      <c r="N144" s="587">
        <f>SUM(G144,D144)</f>
        <v>61845.61</v>
      </c>
    </row>
    <row r="145" spans="1:14" ht="31.5">
      <c r="A145" s="594" t="s">
        <v>601</v>
      </c>
      <c r="B145" s="594" t="s">
        <v>599</v>
      </c>
      <c r="C145" s="593" t="s">
        <v>598</v>
      </c>
      <c r="D145" s="592">
        <f>D146</f>
        <v>0</v>
      </c>
      <c r="E145" s="592">
        <f>E146</f>
        <v>0</v>
      </c>
      <c r="F145" s="592">
        <f>F146</f>
        <v>0</v>
      </c>
      <c r="G145" s="592">
        <f>G146</f>
        <v>300000</v>
      </c>
      <c r="H145" s="592">
        <f>H146</f>
        <v>300000</v>
      </c>
      <c r="I145" s="592">
        <f>I146</f>
        <v>0</v>
      </c>
      <c r="J145" s="592">
        <f>J146</f>
        <v>0</v>
      </c>
      <c r="K145" s="592">
        <f>K146</f>
        <v>0</v>
      </c>
      <c r="L145" s="592">
        <f>L146</f>
        <v>0</v>
      </c>
      <c r="M145" s="592">
        <f>M146</f>
        <v>0</v>
      </c>
      <c r="N145" s="592">
        <f>D145+G145</f>
        <v>300000</v>
      </c>
    </row>
    <row r="146" spans="1:14" ht="31.5">
      <c r="A146" s="594" t="s">
        <v>600</v>
      </c>
      <c r="B146" s="594" t="s">
        <v>599</v>
      </c>
      <c r="C146" s="593" t="s">
        <v>598</v>
      </c>
      <c r="D146" s="592">
        <f>D147</f>
        <v>0</v>
      </c>
      <c r="E146" s="592">
        <f>E147</f>
        <v>0</v>
      </c>
      <c r="F146" s="592">
        <f>F147</f>
        <v>0</v>
      </c>
      <c r="G146" s="592">
        <f>G147</f>
        <v>300000</v>
      </c>
      <c r="H146" s="592">
        <f>H147</f>
        <v>300000</v>
      </c>
      <c r="I146" s="592">
        <f>I147</f>
        <v>0</v>
      </c>
      <c r="J146" s="592">
        <f>J147</f>
        <v>0</v>
      </c>
      <c r="K146" s="592">
        <f>K147</f>
        <v>0</v>
      </c>
      <c r="L146" s="592">
        <f>L147</f>
        <v>0</v>
      </c>
      <c r="M146" s="592">
        <f>M147</f>
        <v>0</v>
      </c>
      <c r="N146" s="592">
        <f>D146+G146</f>
        <v>300000</v>
      </c>
    </row>
    <row r="147" spans="1:14" ht="78.75">
      <c r="A147" s="596" t="s">
        <v>597</v>
      </c>
      <c r="B147" s="591" t="s">
        <v>21</v>
      </c>
      <c r="C147" s="590" t="s">
        <v>596</v>
      </c>
      <c r="D147" s="595"/>
      <c r="E147" s="588"/>
      <c r="F147" s="588"/>
      <c r="G147" s="588">
        <f>H147+K147</f>
        <v>300000</v>
      </c>
      <c r="H147" s="589">
        <v>300000</v>
      </c>
      <c r="I147" s="588"/>
      <c r="J147" s="588"/>
      <c r="K147" s="589"/>
      <c r="L147" s="589"/>
      <c r="M147" s="589"/>
      <c r="N147" s="587">
        <f>D147+G147</f>
        <v>300000</v>
      </c>
    </row>
    <row r="148" spans="1:14" s="582" customFormat="1" ht="35.25" customHeight="1">
      <c r="A148" s="594">
        <v>7300000</v>
      </c>
      <c r="B148" s="594" t="s">
        <v>33</v>
      </c>
      <c r="C148" s="593" t="s">
        <v>34</v>
      </c>
      <c r="D148" s="592">
        <f>D149</f>
        <v>122071</v>
      </c>
      <c r="E148" s="592">
        <f>E149</f>
        <v>0</v>
      </c>
      <c r="F148" s="592">
        <f>F149</f>
        <v>0</v>
      </c>
      <c r="G148" s="592">
        <f>G149</f>
        <v>556858</v>
      </c>
      <c r="H148" s="592">
        <f>H149</f>
        <v>0</v>
      </c>
      <c r="I148" s="592">
        <f>I149</f>
        <v>0</v>
      </c>
      <c r="J148" s="592">
        <f>J149</f>
        <v>0</v>
      </c>
      <c r="K148" s="592">
        <f>K149</f>
        <v>556858</v>
      </c>
      <c r="L148" s="592">
        <f>L149</f>
        <v>556858</v>
      </c>
      <c r="M148" s="592">
        <f>M149</f>
        <v>0</v>
      </c>
      <c r="N148" s="592">
        <f>D148+G148</f>
        <v>678929</v>
      </c>
    </row>
    <row r="149" spans="1:14" s="582" customFormat="1" ht="35.25" customHeight="1">
      <c r="A149" s="594">
        <v>7310000</v>
      </c>
      <c r="B149" s="594" t="s">
        <v>33</v>
      </c>
      <c r="C149" s="593" t="s">
        <v>34</v>
      </c>
      <c r="D149" s="592">
        <f>D150</f>
        <v>122071</v>
      </c>
      <c r="E149" s="592">
        <f>E150</f>
        <v>0</v>
      </c>
      <c r="F149" s="592">
        <f>F150</f>
        <v>0</v>
      </c>
      <c r="G149" s="592">
        <f>G150</f>
        <v>556858</v>
      </c>
      <c r="H149" s="592">
        <f>H150</f>
        <v>0</v>
      </c>
      <c r="I149" s="592">
        <f>I150</f>
        <v>0</v>
      </c>
      <c r="J149" s="592">
        <f>J150</f>
        <v>0</v>
      </c>
      <c r="K149" s="592">
        <f>K150</f>
        <v>556858</v>
      </c>
      <c r="L149" s="592">
        <f>L150</f>
        <v>556858</v>
      </c>
      <c r="M149" s="592">
        <f>M150</f>
        <v>0</v>
      </c>
      <c r="N149" s="592">
        <f>D149+G149</f>
        <v>678929</v>
      </c>
    </row>
    <row r="150" spans="1:14" ht="94.5">
      <c r="A150" s="591" t="s">
        <v>595</v>
      </c>
      <c r="B150" s="591" t="s">
        <v>21</v>
      </c>
      <c r="C150" s="590" t="s">
        <v>433</v>
      </c>
      <c r="D150" s="588">
        <v>122071</v>
      </c>
      <c r="E150" s="588"/>
      <c r="F150" s="588"/>
      <c r="G150" s="588">
        <f>H150+K150</f>
        <v>556858</v>
      </c>
      <c r="H150" s="588"/>
      <c r="I150" s="588"/>
      <c r="J150" s="588"/>
      <c r="K150" s="589">
        <f>490058+66800</f>
        <v>556858</v>
      </c>
      <c r="L150" s="589">
        <f>490058+66800</f>
        <v>556858</v>
      </c>
      <c r="M150" s="588"/>
      <c r="N150" s="587">
        <f>SUM(G150,D150)</f>
        <v>678929</v>
      </c>
    </row>
    <row r="151" spans="1:14" s="582" customFormat="1" ht="19.5">
      <c r="A151" s="586"/>
      <c r="B151" s="585"/>
      <c r="C151" s="584" t="s">
        <v>533</v>
      </c>
      <c r="D151" s="583">
        <f>D135+D136</f>
        <v>12491688.9</v>
      </c>
      <c r="E151" s="583">
        <f>E135+E136</f>
        <v>0</v>
      </c>
      <c r="F151" s="583">
        <f>F135+F136</f>
        <v>0</v>
      </c>
      <c r="G151" s="583">
        <f>G135+G136</f>
        <v>70490990.7</v>
      </c>
      <c r="H151" s="583">
        <f>H135+H136</f>
        <v>17414258.210000005</v>
      </c>
      <c r="I151" s="583">
        <f>I135+I136</f>
        <v>0</v>
      </c>
      <c r="J151" s="583">
        <f>J135+J136</f>
        <v>0</v>
      </c>
      <c r="K151" s="583">
        <f>K135+K136</f>
        <v>53076732.489999995</v>
      </c>
      <c r="L151" s="583">
        <f>L135+L136</f>
        <v>20394509.71</v>
      </c>
      <c r="M151" s="583">
        <f>M135+M136</f>
        <v>0</v>
      </c>
      <c r="N151" s="583">
        <f>N135+N136</f>
        <v>82982679.60000001</v>
      </c>
    </row>
    <row r="152" spans="2:14" ht="13.5" customHeight="1">
      <c r="B152" s="581"/>
      <c r="D152" s="569"/>
      <c r="E152" s="570"/>
      <c r="F152" s="570"/>
      <c r="G152" s="571"/>
      <c r="H152" s="570"/>
      <c r="I152" s="570"/>
      <c r="J152" s="570"/>
      <c r="K152" s="570"/>
      <c r="L152" s="570"/>
      <c r="M152" s="570"/>
      <c r="N152" s="569"/>
    </row>
    <row r="153" spans="2:14" ht="146.25" customHeight="1">
      <c r="B153" s="563"/>
      <c r="C153" s="580"/>
      <c r="D153" s="569"/>
      <c r="E153" s="570"/>
      <c r="F153" s="570"/>
      <c r="G153" s="571"/>
      <c r="H153" s="570"/>
      <c r="I153" s="570"/>
      <c r="J153" s="579"/>
      <c r="K153" s="570"/>
      <c r="L153" s="570"/>
      <c r="M153" s="570"/>
      <c r="N153" s="578"/>
    </row>
    <row r="154" spans="2:14" ht="37.5" customHeight="1">
      <c r="B154" s="577"/>
      <c r="C154" s="576" t="s">
        <v>122</v>
      </c>
      <c r="D154" s="576"/>
      <c r="E154" s="576"/>
      <c r="G154" s="575"/>
      <c r="H154" s="574"/>
      <c r="I154" s="574"/>
      <c r="L154" s="573" t="s">
        <v>70</v>
      </c>
      <c r="M154" s="573"/>
      <c r="N154" s="569"/>
    </row>
    <row r="155" spans="2:14" ht="12.75">
      <c r="B155" s="572"/>
      <c r="D155" s="569"/>
      <c r="E155" s="570"/>
      <c r="F155" s="570"/>
      <c r="G155" s="571"/>
      <c r="H155" s="570"/>
      <c r="I155" s="570"/>
      <c r="J155" s="570"/>
      <c r="K155" s="570"/>
      <c r="L155" s="570"/>
      <c r="M155" s="570"/>
      <c r="N155" s="569"/>
    </row>
    <row r="156" ht="12.75">
      <c r="B156" s="563"/>
    </row>
    <row r="157" spans="2:4" ht="12.75">
      <c r="B157" s="563"/>
      <c r="D157" s="568"/>
    </row>
    <row r="158" spans="2:15" ht="12.75">
      <c r="B158" s="563"/>
      <c r="D158" s="567"/>
      <c r="E158" s="565"/>
      <c r="F158" s="565"/>
      <c r="G158" s="565"/>
      <c r="H158" s="565"/>
      <c r="I158" s="565"/>
      <c r="J158" s="565"/>
      <c r="K158" s="565"/>
      <c r="L158" s="565"/>
      <c r="M158" s="565"/>
      <c r="N158" s="567"/>
      <c r="O158" s="564"/>
    </row>
    <row r="159" spans="2:15" ht="12.75">
      <c r="B159" s="563"/>
      <c r="D159" s="565"/>
      <c r="E159" s="564"/>
      <c r="F159" s="564"/>
      <c r="G159" s="566"/>
      <c r="H159" s="564"/>
      <c r="I159" s="564"/>
      <c r="J159" s="564"/>
      <c r="K159" s="564"/>
      <c r="L159" s="564"/>
      <c r="M159" s="564"/>
      <c r="N159" s="565"/>
      <c r="O159" s="564"/>
    </row>
    <row r="160" spans="2:15" ht="12.75">
      <c r="B160" s="563"/>
      <c r="D160" s="565"/>
      <c r="E160" s="564"/>
      <c r="F160" s="564"/>
      <c r="G160" s="566"/>
      <c r="H160" s="564"/>
      <c r="I160" s="564"/>
      <c r="J160" s="564"/>
      <c r="K160" s="564"/>
      <c r="L160" s="564"/>
      <c r="M160" s="564"/>
      <c r="N160" s="565"/>
      <c r="O160" s="564"/>
    </row>
    <row r="161" ht="12.75">
      <c r="B161" s="563"/>
    </row>
    <row r="162" ht="12.75">
      <c r="B162" s="563"/>
    </row>
    <row r="163" ht="12.75">
      <c r="B163" s="563"/>
    </row>
    <row r="164" ht="12.75">
      <c r="B164" s="563"/>
    </row>
    <row r="165" ht="12.75">
      <c r="B165" s="563"/>
    </row>
    <row r="166" ht="12.75">
      <c r="B166" s="563"/>
    </row>
    <row r="167" ht="12.75">
      <c r="B167" s="563"/>
    </row>
    <row r="168" ht="12.75">
      <c r="B168" s="563"/>
    </row>
    <row r="169" ht="12.75">
      <c r="B169" s="563"/>
    </row>
    <row r="170" ht="12.75">
      <c r="B170" s="563"/>
    </row>
    <row r="171" ht="12.75">
      <c r="B171" s="563"/>
    </row>
    <row r="172" ht="12.75">
      <c r="B172" s="563"/>
    </row>
    <row r="173" ht="12.75">
      <c r="B173" s="563"/>
    </row>
    <row r="174" ht="12.75">
      <c r="B174" s="563"/>
    </row>
    <row r="175" ht="12.75">
      <c r="B175" s="563"/>
    </row>
    <row r="176" ht="12.75">
      <c r="B176" s="563"/>
    </row>
    <row r="177" ht="12.75">
      <c r="B177" s="563"/>
    </row>
    <row r="178" ht="12.75">
      <c r="B178" s="563"/>
    </row>
    <row r="179" ht="12.75">
      <c r="B179" s="563"/>
    </row>
    <row r="180" ht="12.75">
      <c r="B180" s="563"/>
    </row>
    <row r="181" ht="12.75">
      <c r="B181" s="563"/>
    </row>
    <row r="182" ht="12.75">
      <c r="B182" s="563"/>
    </row>
    <row r="183" ht="12.75">
      <c r="B183" s="563"/>
    </row>
    <row r="184" ht="12.75">
      <c r="B184" s="563"/>
    </row>
    <row r="185" ht="12.75">
      <c r="B185" s="563"/>
    </row>
    <row r="186" ht="12.75">
      <c r="B186" s="563"/>
    </row>
    <row r="187" ht="12.75">
      <c r="B187" s="563"/>
    </row>
    <row r="188" ht="12.75">
      <c r="B188" s="563"/>
    </row>
    <row r="189" ht="12.75">
      <c r="B189" s="563"/>
    </row>
    <row r="190" ht="12.75">
      <c r="B190" s="563"/>
    </row>
    <row r="191" ht="12.75">
      <c r="B191" s="563"/>
    </row>
    <row r="192" ht="12.75">
      <c r="B192" s="563"/>
    </row>
    <row r="193" ht="12.75">
      <c r="B193" s="563"/>
    </row>
    <row r="194" ht="12.75">
      <c r="B194" s="563"/>
    </row>
    <row r="195" ht="12.75">
      <c r="B195" s="563"/>
    </row>
    <row r="196" ht="12.75">
      <c r="B196" s="563"/>
    </row>
    <row r="197" ht="12.75">
      <c r="B197" s="563"/>
    </row>
    <row r="198" ht="12.75">
      <c r="B198" s="563"/>
    </row>
    <row r="199" ht="12.75">
      <c r="B199" s="563"/>
    </row>
    <row r="200" ht="12.75">
      <c r="B200" s="563"/>
    </row>
    <row r="201" ht="12.75">
      <c r="B201" s="563"/>
    </row>
    <row r="202" ht="12.75">
      <c r="B202" s="563"/>
    </row>
    <row r="203" ht="12.75">
      <c r="B203" s="563"/>
    </row>
    <row r="204" ht="12.75">
      <c r="B204" s="563"/>
    </row>
    <row r="205" ht="12.75">
      <c r="B205" s="563"/>
    </row>
    <row r="206" ht="12.75">
      <c r="B206" s="563"/>
    </row>
    <row r="207" ht="12.75">
      <c r="B207" s="563"/>
    </row>
    <row r="208" ht="12.75">
      <c r="B208" s="563"/>
    </row>
    <row r="209" ht="12.75">
      <c r="B209" s="563"/>
    </row>
    <row r="210" ht="12.75">
      <c r="B210" s="563"/>
    </row>
    <row r="211" ht="12.75">
      <c r="B211" s="563"/>
    </row>
    <row r="212" ht="12.75">
      <c r="B212" s="563"/>
    </row>
    <row r="213" ht="12.75">
      <c r="B213" s="563"/>
    </row>
    <row r="214" ht="12.75">
      <c r="B214" s="563"/>
    </row>
    <row r="215" ht="12.75">
      <c r="B215" s="563"/>
    </row>
    <row r="216" ht="12.75">
      <c r="B216" s="563"/>
    </row>
    <row r="217" ht="12.75">
      <c r="B217" s="563"/>
    </row>
    <row r="218" ht="12.75">
      <c r="B218" s="563"/>
    </row>
    <row r="219" ht="12.75">
      <c r="B219" s="563"/>
    </row>
    <row r="220" ht="12.75">
      <c r="B220" s="563"/>
    </row>
    <row r="221" ht="12.75">
      <c r="B221" s="563"/>
    </row>
    <row r="222" ht="12.75">
      <c r="B222" s="563"/>
    </row>
    <row r="223" ht="12.75">
      <c r="B223" s="563"/>
    </row>
    <row r="224" ht="12.75">
      <c r="B224" s="563"/>
    </row>
    <row r="225" ht="12.75">
      <c r="B225" s="563"/>
    </row>
    <row r="226" ht="12.75">
      <c r="B226" s="563"/>
    </row>
    <row r="227" ht="12.75">
      <c r="B227" s="563"/>
    </row>
    <row r="228" ht="12.75">
      <c r="B228" s="563"/>
    </row>
    <row r="229" ht="12.75">
      <c r="B229" s="563"/>
    </row>
    <row r="230" ht="12.75">
      <c r="B230" s="563"/>
    </row>
    <row r="231" ht="12.75">
      <c r="B231" s="563"/>
    </row>
    <row r="232" ht="12.75">
      <c r="B232" s="563"/>
    </row>
    <row r="233" ht="12.75">
      <c r="B233" s="563"/>
    </row>
    <row r="234" ht="12.75">
      <c r="B234" s="563"/>
    </row>
    <row r="235" ht="12.75">
      <c r="B235" s="563"/>
    </row>
    <row r="236" ht="12.75">
      <c r="B236" s="563"/>
    </row>
    <row r="237" ht="12.75">
      <c r="B237" s="563"/>
    </row>
    <row r="238" ht="12.75">
      <c r="B238" s="563"/>
    </row>
    <row r="239" ht="12.75">
      <c r="B239" s="563"/>
    </row>
    <row r="240" ht="12.75">
      <c r="B240" s="563"/>
    </row>
    <row r="241" ht="12.75">
      <c r="B241" s="563"/>
    </row>
    <row r="242" ht="12.75">
      <c r="B242" s="563"/>
    </row>
    <row r="243" ht="12.75">
      <c r="B243" s="563"/>
    </row>
    <row r="244" ht="12.75">
      <c r="B244" s="563"/>
    </row>
    <row r="245" ht="12.75">
      <c r="B245" s="563"/>
    </row>
    <row r="246" ht="12.75">
      <c r="B246" s="563"/>
    </row>
    <row r="247" ht="12.75">
      <c r="B247" s="563"/>
    </row>
    <row r="248" ht="12.75">
      <c r="B248" s="563"/>
    </row>
    <row r="249" ht="12.75">
      <c r="B249" s="563"/>
    </row>
    <row r="250" ht="12.75">
      <c r="B250" s="563"/>
    </row>
    <row r="251" ht="12.75">
      <c r="B251" s="563"/>
    </row>
    <row r="252" ht="12.75">
      <c r="B252" s="563"/>
    </row>
    <row r="253" ht="12.75">
      <c r="B253" s="563"/>
    </row>
    <row r="254" ht="12.75">
      <c r="B254" s="563"/>
    </row>
    <row r="255" ht="12.75">
      <c r="B255" s="563"/>
    </row>
    <row r="256" ht="12.75">
      <c r="B256" s="563"/>
    </row>
    <row r="257" ht="12.75">
      <c r="B257" s="563"/>
    </row>
    <row r="258" ht="12.75">
      <c r="B258" s="563"/>
    </row>
    <row r="259" ht="12.75">
      <c r="B259" s="563"/>
    </row>
    <row r="260" ht="12.75">
      <c r="B260" s="563"/>
    </row>
    <row r="261" ht="12.75">
      <c r="B261" s="563"/>
    </row>
    <row r="262" ht="12.75">
      <c r="B262" s="563"/>
    </row>
    <row r="263" ht="12.75">
      <c r="B263" s="563"/>
    </row>
    <row r="264" ht="12.75">
      <c r="B264" s="563"/>
    </row>
    <row r="265" ht="12.75">
      <c r="B265" s="563"/>
    </row>
    <row r="266" ht="12.75">
      <c r="B266" s="563"/>
    </row>
    <row r="267" ht="12.75">
      <c r="B267" s="563"/>
    </row>
    <row r="268" ht="12.75">
      <c r="B268" s="563"/>
    </row>
    <row r="269" ht="12.75">
      <c r="B269" s="563"/>
    </row>
    <row r="270" ht="12.75">
      <c r="B270" s="563"/>
    </row>
    <row r="271" ht="12.75">
      <c r="B271" s="563"/>
    </row>
    <row r="272" ht="12.75">
      <c r="B272" s="563"/>
    </row>
    <row r="273" ht="12.75">
      <c r="B273" s="563"/>
    </row>
    <row r="274" ht="12.75">
      <c r="B274" s="563"/>
    </row>
    <row r="275" ht="12.75">
      <c r="B275" s="563"/>
    </row>
    <row r="276" ht="12.75">
      <c r="B276" s="563"/>
    </row>
    <row r="277" ht="12.75">
      <c r="B277" s="563"/>
    </row>
    <row r="278" ht="12.75">
      <c r="B278" s="563"/>
    </row>
    <row r="279" ht="12.75">
      <c r="B279" s="563"/>
    </row>
    <row r="280" ht="12.75">
      <c r="B280" s="563"/>
    </row>
    <row r="281" ht="12.75">
      <c r="B281" s="563"/>
    </row>
    <row r="282" ht="12.75">
      <c r="B282" s="563"/>
    </row>
    <row r="283" ht="12.75">
      <c r="B283" s="563"/>
    </row>
    <row r="284" ht="12.75">
      <c r="B284" s="563"/>
    </row>
    <row r="285" ht="12.75">
      <c r="B285" s="563"/>
    </row>
    <row r="286" ht="12.75">
      <c r="B286" s="563"/>
    </row>
    <row r="287" ht="12.75">
      <c r="B287" s="563"/>
    </row>
    <row r="288" ht="12.75">
      <c r="B288" s="563"/>
    </row>
    <row r="289" ht="12.75">
      <c r="B289" s="563"/>
    </row>
    <row r="290" ht="12.75">
      <c r="B290" s="563"/>
    </row>
    <row r="291" ht="12.75">
      <c r="B291" s="563"/>
    </row>
    <row r="292" ht="12.75">
      <c r="B292" s="563"/>
    </row>
    <row r="293" ht="12.75">
      <c r="B293" s="563"/>
    </row>
    <row r="294" ht="12.75">
      <c r="B294" s="563"/>
    </row>
    <row r="295" ht="12.75">
      <c r="B295" s="563"/>
    </row>
    <row r="296" ht="12.75">
      <c r="B296" s="563"/>
    </row>
    <row r="297" ht="12.75">
      <c r="B297" s="563"/>
    </row>
    <row r="298" ht="12.75">
      <c r="B298" s="563"/>
    </row>
    <row r="299" ht="12.75">
      <c r="B299" s="563"/>
    </row>
    <row r="300" ht="12.75">
      <c r="B300" s="563"/>
    </row>
    <row r="301" ht="12.75">
      <c r="B301" s="563"/>
    </row>
    <row r="302" ht="12.75">
      <c r="B302" s="563"/>
    </row>
    <row r="303" ht="12.75">
      <c r="B303" s="563"/>
    </row>
    <row r="304" ht="12.75">
      <c r="B304" s="563"/>
    </row>
    <row r="305" ht="12.75">
      <c r="B305" s="563"/>
    </row>
    <row r="306" ht="12.75">
      <c r="B306" s="563"/>
    </row>
    <row r="307" ht="12.75">
      <c r="B307" s="563"/>
    </row>
    <row r="308" ht="12.75">
      <c r="B308" s="563"/>
    </row>
    <row r="309" ht="12.75">
      <c r="B309" s="563"/>
    </row>
    <row r="310" ht="12.75">
      <c r="B310" s="563"/>
    </row>
    <row r="311" ht="12.75">
      <c r="B311" s="563"/>
    </row>
    <row r="312" ht="12.75">
      <c r="B312" s="563"/>
    </row>
    <row r="313" ht="12.75">
      <c r="B313" s="563"/>
    </row>
  </sheetData>
  <sheetProtection/>
  <mergeCells count="22">
    <mergeCell ref="B4:N4"/>
    <mergeCell ref="B8:B10"/>
    <mergeCell ref="L8:M8"/>
    <mergeCell ref="L9:L10"/>
    <mergeCell ref="N7:N10"/>
    <mergeCell ref="H8:H10"/>
    <mergeCell ref="L154:M154"/>
    <mergeCell ref="E8:F8"/>
    <mergeCell ref="I8:J8"/>
    <mergeCell ref="C154:E154"/>
    <mergeCell ref="J9:J10"/>
    <mergeCell ref="C8:C10"/>
    <mergeCell ref="K8:K10"/>
    <mergeCell ref="D8:D10"/>
    <mergeCell ref="F9:F10"/>
    <mergeCell ref="I9:I10"/>
    <mergeCell ref="A7:A10"/>
    <mergeCell ref="B5:N5"/>
    <mergeCell ref="G8:G10"/>
    <mergeCell ref="E9:E10"/>
    <mergeCell ref="D7:F7"/>
    <mergeCell ref="G7:M7"/>
  </mergeCells>
  <printOptions horizontalCentered="1"/>
  <pageMargins left="0.5511811023622047" right="0.3937007874015748" top="0.4724409448818898" bottom="0.31496062992125984" header="0.2755905511811024" footer="0.11811023622047245"/>
  <pageSetup horizontalDpi="600" verticalDpi="600" orientation="landscape" paperSize="9" scale="48" r:id="rId2"/>
  <headerFooter differentFirst="1" alignWithMargins="0">
    <oddHeader>&amp;C&amp;P</oddHeader>
  </headerFooter>
  <rowBreaks count="5" manualBreakCount="5">
    <brk id="25" max="13" man="1"/>
    <brk id="39" max="13" man="1"/>
    <brk id="59" max="13" man="1"/>
    <brk id="76" max="13" man="1"/>
    <brk id="100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Z160"/>
  <sheetViews>
    <sheetView showZeros="0" view="pageBreakPreview" zoomScaleSheetLayoutView="100" zoomScalePageLayoutView="0" workbookViewId="0" topLeftCell="I1">
      <selection activeCell="K4" sqref="K4"/>
    </sheetView>
  </sheetViews>
  <sheetFormatPr defaultColWidth="9.00390625" defaultRowHeight="12.75"/>
  <cols>
    <col min="1" max="1" width="11.875" style="497" customWidth="1"/>
    <col min="2" max="2" width="5.125" style="497" hidden="1" customWidth="1"/>
    <col min="3" max="3" width="5.00390625" style="497" hidden="1" customWidth="1"/>
    <col min="4" max="4" width="25.25390625" style="497" customWidth="1"/>
    <col min="5" max="5" width="20.375" style="497" customWidth="1"/>
    <col min="6" max="6" width="15.25390625" style="497" customWidth="1"/>
    <col min="7" max="7" width="25.75390625" style="497" customWidth="1"/>
    <col min="8" max="8" width="22.875" style="497" customWidth="1"/>
    <col min="9" max="9" width="16.75390625" style="497" customWidth="1"/>
    <col min="10" max="10" width="20.625" style="497" customWidth="1"/>
    <col min="11" max="11" width="25.125" style="497" customWidth="1"/>
    <col min="12" max="12" width="22.00390625" style="25" customWidth="1"/>
    <col min="13" max="13" width="19.25390625" style="498" customWidth="1"/>
    <col min="14" max="14" width="14.125" style="498" customWidth="1"/>
    <col min="15" max="15" width="14.25390625" style="498" bestFit="1" customWidth="1"/>
    <col min="16" max="25" width="9.125" style="498" customWidth="1"/>
    <col min="26" max="16384" width="9.125" style="497" customWidth="1"/>
  </cols>
  <sheetData>
    <row r="1" spans="4:12" ht="14.25" customHeight="1">
      <c r="D1" s="555"/>
      <c r="E1" s="555"/>
      <c r="H1" s="557"/>
      <c r="L1" s="556" t="s">
        <v>594</v>
      </c>
    </row>
    <row r="2" spans="4:12" ht="15" customHeight="1">
      <c r="D2" s="555"/>
      <c r="E2" s="555"/>
      <c r="H2" s="557"/>
      <c r="L2" s="556" t="s">
        <v>515</v>
      </c>
    </row>
    <row r="3" spans="4:12" ht="16.5" customHeight="1">
      <c r="D3" s="555"/>
      <c r="E3" s="555"/>
      <c r="H3" s="557"/>
      <c r="L3" s="556" t="s">
        <v>593</v>
      </c>
    </row>
    <row r="4" spans="4:12" ht="16.5" customHeight="1">
      <c r="D4" s="555"/>
      <c r="E4" s="555"/>
      <c r="F4" s="555"/>
      <c r="G4" s="555"/>
      <c r="H4" s="555"/>
      <c r="I4" s="555"/>
      <c r="J4" s="555"/>
      <c r="K4" s="555"/>
      <c r="L4" s="554"/>
    </row>
    <row r="5" spans="1:15" ht="33.75" customHeight="1">
      <c r="A5" s="552"/>
      <c r="B5" s="552"/>
      <c r="C5" s="552"/>
      <c r="D5" s="552"/>
      <c r="E5" s="553" t="s">
        <v>592</v>
      </c>
      <c r="F5" s="553"/>
      <c r="G5" s="553"/>
      <c r="H5" s="553"/>
      <c r="I5" s="553"/>
      <c r="J5" s="553"/>
      <c r="K5" s="553"/>
      <c r="L5" s="553"/>
      <c r="M5" s="552"/>
      <c r="N5" s="552"/>
      <c r="O5" s="552"/>
    </row>
    <row r="6" spans="1:13" ht="14.25" customHeight="1">
      <c r="A6" s="499"/>
      <c r="B6" s="499"/>
      <c r="D6" s="551"/>
      <c r="E6" s="551"/>
      <c r="F6" s="550"/>
      <c r="G6" s="550"/>
      <c r="H6" s="551"/>
      <c r="I6" s="551"/>
      <c r="J6" s="551"/>
      <c r="K6" s="551"/>
      <c r="L6" s="550" t="s">
        <v>591</v>
      </c>
      <c r="M6" s="549"/>
    </row>
    <row r="7" spans="1:19" ht="15" customHeight="1">
      <c r="A7" s="548" t="s">
        <v>590</v>
      </c>
      <c r="B7" s="543"/>
      <c r="C7" s="542" t="s">
        <v>589</v>
      </c>
      <c r="D7" s="539" t="s">
        <v>588</v>
      </c>
      <c r="E7" s="547" t="s">
        <v>587</v>
      </c>
      <c r="F7" s="546"/>
      <c r="G7" s="546"/>
      <c r="H7" s="546"/>
      <c r="I7" s="546"/>
      <c r="J7" s="546"/>
      <c r="K7" s="546"/>
      <c r="L7" s="545"/>
      <c r="M7" s="538"/>
      <c r="N7" s="524"/>
      <c r="O7" s="524"/>
      <c r="P7" s="524"/>
      <c r="Q7" s="524"/>
      <c r="R7" s="524"/>
      <c r="S7" s="524"/>
    </row>
    <row r="8" spans="1:19" ht="15" customHeight="1">
      <c r="A8" s="544"/>
      <c r="B8" s="543"/>
      <c r="C8" s="542"/>
      <c r="D8" s="539"/>
      <c r="E8" s="547" t="s">
        <v>536</v>
      </c>
      <c r="F8" s="546"/>
      <c r="G8" s="545"/>
      <c r="H8" s="546" t="s">
        <v>535</v>
      </c>
      <c r="I8" s="546"/>
      <c r="J8" s="546"/>
      <c r="K8" s="545"/>
      <c r="L8" s="539" t="s">
        <v>533</v>
      </c>
      <c r="M8" s="538"/>
      <c r="N8" s="524"/>
      <c r="O8" s="524"/>
      <c r="P8" s="524"/>
      <c r="Q8" s="524"/>
      <c r="R8" s="524"/>
      <c r="S8" s="524"/>
    </row>
    <row r="9" spans="1:19" ht="29.25" customHeight="1">
      <c r="A9" s="544"/>
      <c r="B9" s="543"/>
      <c r="C9" s="542"/>
      <c r="D9" s="539"/>
      <c r="E9" s="547" t="s">
        <v>586</v>
      </c>
      <c r="F9" s="546"/>
      <c r="G9" s="545"/>
      <c r="H9" s="546" t="s">
        <v>585</v>
      </c>
      <c r="I9" s="546"/>
      <c r="J9" s="546"/>
      <c r="K9" s="545"/>
      <c r="L9" s="539"/>
      <c r="M9" s="538"/>
      <c r="N9" s="524"/>
      <c r="O9" s="524"/>
      <c r="P9" s="524"/>
      <c r="Q9" s="524"/>
      <c r="R9" s="524"/>
      <c r="S9" s="524"/>
    </row>
    <row r="10" spans="1:130" ht="145.5" customHeight="1">
      <c r="A10" s="544"/>
      <c r="B10" s="543"/>
      <c r="C10" s="542"/>
      <c r="D10" s="539"/>
      <c r="E10" s="534" t="s">
        <v>584</v>
      </c>
      <c r="F10" s="534" t="s">
        <v>583</v>
      </c>
      <c r="G10" s="540" t="s">
        <v>579</v>
      </c>
      <c r="H10" s="540" t="s">
        <v>582</v>
      </c>
      <c r="I10" s="541" t="s">
        <v>581</v>
      </c>
      <c r="J10" s="540" t="s">
        <v>580</v>
      </c>
      <c r="K10" s="540" t="s">
        <v>579</v>
      </c>
      <c r="L10" s="539"/>
      <c r="M10" s="538"/>
      <c r="N10" s="537"/>
      <c r="O10" s="537"/>
      <c r="P10" s="537"/>
      <c r="Q10" s="537"/>
      <c r="R10" s="537"/>
      <c r="S10" s="537"/>
      <c r="T10" s="536"/>
      <c r="U10" s="536"/>
      <c r="V10" s="536"/>
      <c r="W10" s="536"/>
      <c r="X10" s="536"/>
      <c r="Y10" s="536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5"/>
      <c r="CK10" s="535"/>
      <c r="CL10" s="535"/>
      <c r="CM10" s="535"/>
      <c r="CN10" s="535"/>
      <c r="CO10" s="535"/>
      <c r="CP10" s="535"/>
      <c r="CQ10" s="535"/>
      <c r="CR10" s="535"/>
      <c r="CS10" s="535"/>
      <c r="CT10" s="535"/>
      <c r="CU10" s="535"/>
      <c r="CV10" s="535"/>
      <c r="CW10" s="535"/>
      <c r="CX10" s="535"/>
      <c r="CY10" s="535"/>
      <c r="CZ10" s="535"/>
      <c r="DA10" s="535"/>
      <c r="DB10" s="535"/>
      <c r="DC10" s="535"/>
      <c r="DD10" s="535"/>
      <c r="DE10" s="535"/>
      <c r="DF10" s="535"/>
      <c r="DG10" s="535"/>
      <c r="DH10" s="535"/>
      <c r="DI10" s="535"/>
      <c r="DJ10" s="535"/>
      <c r="DK10" s="535"/>
      <c r="DL10" s="535"/>
      <c r="DM10" s="535"/>
      <c r="DN10" s="535"/>
      <c r="DO10" s="535"/>
      <c r="DP10" s="535"/>
      <c r="DQ10" s="535"/>
      <c r="DR10" s="535"/>
      <c r="DS10" s="535"/>
      <c r="DT10" s="535"/>
      <c r="DU10" s="535"/>
      <c r="DV10" s="535"/>
      <c r="DW10" s="535"/>
      <c r="DX10" s="535"/>
      <c r="DY10" s="535"/>
      <c r="DZ10" s="535"/>
    </row>
    <row r="11" spans="1:25" s="527" customFormat="1" ht="14.25" customHeight="1">
      <c r="A11" s="531">
        <v>1</v>
      </c>
      <c r="B11" s="531"/>
      <c r="C11" s="531"/>
      <c r="D11" s="531">
        <v>2</v>
      </c>
      <c r="E11" s="534">
        <v>3</v>
      </c>
      <c r="F11" s="534">
        <v>4</v>
      </c>
      <c r="G11" s="534">
        <v>5</v>
      </c>
      <c r="H11" s="533">
        <v>6</v>
      </c>
      <c r="I11" s="532">
        <v>7</v>
      </c>
      <c r="J11" s="532">
        <v>8</v>
      </c>
      <c r="K11" s="532">
        <v>9</v>
      </c>
      <c r="L11" s="531">
        <v>10</v>
      </c>
      <c r="M11" s="530"/>
      <c r="N11" s="529"/>
      <c r="O11" s="529"/>
      <c r="P11" s="529"/>
      <c r="Q11" s="529"/>
      <c r="R11" s="529"/>
      <c r="S11" s="529"/>
      <c r="T11" s="528"/>
      <c r="U11" s="528"/>
      <c r="V11" s="528"/>
      <c r="W11" s="528"/>
      <c r="X11" s="528"/>
      <c r="Y11" s="528"/>
    </row>
    <row r="12" spans="1:19" ht="15" customHeight="1">
      <c r="A12" s="523">
        <v>17201000000</v>
      </c>
      <c r="B12" s="526"/>
      <c r="C12" s="526"/>
      <c r="D12" s="525" t="s">
        <v>578</v>
      </c>
      <c r="E12" s="514"/>
      <c r="F12" s="514"/>
      <c r="G12" s="514"/>
      <c r="H12" s="514"/>
      <c r="I12" s="514"/>
      <c r="J12" s="514"/>
      <c r="K12" s="514"/>
      <c r="L12" s="514">
        <f>E12+F12+G12+H12+I12+J12+K12</f>
        <v>0</v>
      </c>
      <c r="M12" s="513"/>
      <c r="N12" s="524"/>
      <c r="O12" s="524"/>
      <c r="P12" s="524"/>
      <c r="Q12" s="524"/>
      <c r="R12" s="524"/>
      <c r="S12" s="524"/>
    </row>
    <row r="13" spans="1:19" ht="15" customHeight="1">
      <c r="A13" s="523">
        <v>17202000000</v>
      </c>
      <c r="B13" s="526"/>
      <c r="C13" s="526"/>
      <c r="D13" s="525" t="s">
        <v>577</v>
      </c>
      <c r="E13" s="514"/>
      <c r="F13" s="514"/>
      <c r="G13" s="514">
        <v>33483</v>
      </c>
      <c r="H13" s="514"/>
      <c r="I13" s="514"/>
      <c r="J13" s="514"/>
      <c r="K13" s="514"/>
      <c r="L13" s="514">
        <f>E13+F13+G13+H13+I13+J13+K13</f>
        <v>33483</v>
      </c>
      <c r="M13" s="513"/>
      <c r="N13" s="524"/>
      <c r="O13" s="524"/>
      <c r="P13" s="524"/>
      <c r="Q13" s="524"/>
      <c r="R13" s="524"/>
      <c r="S13" s="524"/>
    </row>
    <row r="14" spans="1:13" ht="15" customHeight="1">
      <c r="A14" s="523">
        <v>17203000000</v>
      </c>
      <c r="B14" s="511"/>
      <c r="C14" s="511"/>
      <c r="D14" s="519" t="s">
        <v>576</v>
      </c>
      <c r="E14" s="514"/>
      <c r="F14" s="514"/>
      <c r="G14" s="514"/>
      <c r="H14" s="514"/>
      <c r="I14" s="514"/>
      <c r="J14" s="514"/>
      <c r="K14" s="514"/>
      <c r="L14" s="514">
        <f>E14+F14+G14+H14+I14+J14+K14</f>
        <v>0</v>
      </c>
      <c r="M14" s="513"/>
    </row>
    <row r="15" spans="1:13" ht="15" customHeight="1">
      <c r="A15" s="523">
        <v>17204000000</v>
      </c>
      <c r="B15" s="511"/>
      <c r="C15" s="511"/>
      <c r="D15" s="519" t="s">
        <v>164</v>
      </c>
      <c r="E15" s="514"/>
      <c r="F15" s="514"/>
      <c r="G15" s="514">
        <v>24259</v>
      </c>
      <c r="H15" s="514">
        <v>170000</v>
      </c>
      <c r="I15" s="514"/>
      <c r="J15" s="514"/>
      <c r="K15" s="514"/>
      <c r="L15" s="514">
        <f>E15+F15+G15+H15+I15+J15+K15</f>
        <v>194259</v>
      </c>
      <c r="M15" s="513"/>
    </row>
    <row r="16" spans="1:13" ht="30.75" customHeight="1">
      <c r="A16" s="522"/>
      <c r="B16" s="511"/>
      <c r="C16" s="511"/>
      <c r="D16" s="518" t="s">
        <v>575</v>
      </c>
      <c r="E16" s="509"/>
      <c r="F16" s="509">
        <f>SUM(F12:F15)</f>
        <v>0</v>
      </c>
      <c r="G16" s="509">
        <f>SUM(G12:G15)</f>
        <v>57742</v>
      </c>
      <c r="H16" s="509">
        <f>SUM(H12:H15)</f>
        <v>170000</v>
      </c>
      <c r="I16" s="509">
        <f>SUM(I12:I15)</f>
        <v>0</v>
      </c>
      <c r="J16" s="509">
        <f>SUM(J12:J15)</f>
        <v>0</v>
      </c>
      <c r="K16" s="509">
        <f>SUM(K12:K15)</f>
        <v>0</v>
      </c>
      <c r="L16" s="509">
        <f>SUM(L12:L15)</f>
        <v>227742</v>
      </c>
      <c r="M16" s="508"/>
    </row>
    <row r="17" spans="1:13" ht="15" customHeight="1">
      <c r="A17" s="517" t="s">
        <v>574</v>
      </c>
      <c r="B17" s="511"/>
      <c r="C17" s="511"/>
      <c r="D17" s="519" t="s">
        <v>276</v>
      </c>
      <c r="E17" s="514"/>
      <c r="F17" s="514"/>
      <c r="G17" s="514"/>
      <c r="H17" s="514"/>
      <c r="I17" s="514"/>
      <c r="J17" s="514"/>
      <c r="K17" s="514">
        <v>63821</v>
      </c>
      <c r="L17" s="514">
        <f>E17+F17+G17+H17+I17+J17+K17</f>
        <v>63821</v>
      </c>
      <c r="M17" s="513"/>
    </row>
    <row r="18" spans="1:13" ht="15" customHeight="1">
      <c r="A18" s="517" t="s">
        <v>573</v>
      </c>
      <c r="B18" s="511"/>
      <c r="C18" s="511"/>
      <c r="D18" s="519" t="s">
        <v>572</v>
      </c>
      <c r="E18" s="514"/>
      <c r="F18" s="514"/>
      <c r="G18" s="514"/>
      <c r="H18" s="514"/>
      <c r="I18" s="514"/>
      <c r="J18" s="514"/>
      <c r="K18" s="514"/>
      <c r="L18" s="514">
        <f>E18+F18+G18+H18+I18+J18+K18</f>
        <v>0</v>
      </c>
      <c r="M18" s="513"/>
    </row>
    <row r="19" spans="1:13" ht="15" customHeight="1">
      <c r="A19" s="517" t="s">
        <v>571</v>
      </c>
      <c r="B19" s="511"/>
      <c r="C19" s="511"/>
      <c r="D19" s="519" t="s">
        <v>266</v>
      </c>
      <c r="E19" s="514"/>
      <c r="F19" s="514"/>
      <c r="G19" s="514"/>
      <c r="H19" s="514"/>
      <c r="I19" s="514"/>
      <c r="J19" s="514"/>
      <c r="K19" s="514"/>
      <c r="L19" s="514">
        <f>E19+F19+G19+H19+I19+J19+K19</f>
        <v>0</v>
      </c>
      <c r="M19" s="513"/>
    </row>
    <row r="20" spans="1:13" ht="15" customHeight="1">
      <c r="A20" s="517" t="s">
        <v>570</v>
      </c>
      <c r="B20" s="511"/>
      <c r="C20" s="511"/>
      <c r="D20" s="519" t="s">
        <v>262</v>
      </c>
      <c r="E20" s="514"/>
      <c r="F20" s="514"/>
      <c r="G20" s="514"/>
      <c r="H20" s="514"/>
      <c r="I20" s="514"/>
      <c r="J20" s="514"/>
      <c r="K20" s="514">
        <v>51118</v>
      </c>
      <c r="L20" s="514">
        <f>E20+F20+G20+H20+I20+J20+K20</f>
        <v>51118</v>
      </c>
      <c r="M20" s="513"/>
    </row>
    <row r="21" spans="1:13" ht="15" customHeight="1">
      <c r="A21" s="517" t="s">
        <v>569</v>
      </c>
      <c r="B21" s="511"/>
      <c r="C21" s="511"/>
      <c r="D21" s="519" t="s">
        <v>259</v>
      </c>
      <c r="E21" s="514"/>
      <c r="F21" s="514"/>
      <c r="G21" s="514"/>
      <c r="H21" s="514"/>
      <c r="I21" s="514"/>
      <c r="J21" s="514"/>
      <c r="K21" s="514">
        <v>32914</v>
      </c>
      <c r="L21" s="514">
        <f>E21+F21+G21+H21+I21+J21+K21</f>
        <v>32914</v>
      </c>
      <c r="M21" s="513"/>
    </row>
    <row r="22" spans="1:13" ht="15" customHeight="1">
      <c r="A22" s="517" t="s">
        <v>568</v>
      </c>
      <c r="B22" s="511"/>
      <c r="C22" s="511"/>
      <c r="D22" s="519" t="s">
        <v>330</v>
      </c>
      <c r="E22" s="514"/>
      <c r="F22" s="514"/>
      <c r="G22" s="514"/>
      <c r="H22" s="514"/>
      <c r="I22" s="514"/>
      <c r="J22" s="514"/>
      <c r="K22" s="514">
        <v>67000</v>
      </c>
      <c r="L22" s="514">
        <f>E22+F22+G22+H22+I22+J22+K22</f>
        <v>67000</v>
      </c>
      <c r="M22" s="513"/>
    </row>
    <row r="23" spans="1:13" ht="15" customHeight="1">
      <c r="A23" s="517" t="s">
        <v>567</v>
      </c>
      <c r="B23" s="511"/>
      <c r="C23" s="511"/>
      <c r="D23" s="519" t="s">
        <v>250</v>
      </c>
      <c r="E23" s="514"/>
      <c r="F23" s="514"/>
      <c r="G23" s="514"/>
      <c r="H23" s="514"/>
      <c r="I23" s="514"/>
      <c r="J23" s="514"/>
      <c r="K23" s="514"/>
      <c r="L23" s="514">
        <f>E23+F23+G23+H23+I23+J23+K23</f>
        <v>0</v>
      </c>
      <c r="M23" s="513"/>
    </row>
    <row r="24" spans="1:13" ht="15" customHeight="1">
      <c r="A24" s="517" t="s">
        <v>566</v>
      </c>
      <c r="B24" s="511"/>
      <c r="C24" s="511"/>
      <c r="D24" s="521" t="s">
        <v>248</v>
      </c>
      <c r="E24" s="514"/>
      <c r="F24" s="514"/>
      <c r="G24" s="514"/>
      <c r="H24" s="514"/>
      <c r="I24" s="514"/>
      <c r="J24" s="514"/>
      <c r="K24" s="514">
        <v>33000</v>
      </c>
      <c r="L24" s="514">
        <f>E24+F24+G24+H24+I24+J24+K24</f>
        <v>33000</v>
      </c>
      <c r="M24" s="513"/>
    </row>
    <row r="25" spans="1:13" ht="15" customHeight="1">
      <c r="A25" s="517" t="s">
        <v>565</v>
      </c>
      <c r="B25" s="511"/>
      <c r="C25" s="511"/>
      <c r="D25" s="520" t="s">
        <v>243</v>
      </c>
      <c r="E25" s="514"/>
      <c r="F25" s="514"/>
      <c r="G25" s="514">
        <v>30729</v>
      </c>
      <c r="H25" s="514"/>
      <c r="I25" s="514"/>
      <c r="J25" s="514"/>
      <c r="K25" s="514">
        <v>69435</v>
      </c>
      <c r="L25" s="514">
        <f>E25+F25+G25+H25+I25+J25+K25</f>
        <v>100164</v>
      </c>
      <c r="M25" s="513"/>
    </row>
    <row r="26" spans="1:13" ht="15" customHeight="1">
      <c r="A26" s="517" t="s">
        <v>564</v>
      </c>
      <c r="B26" s="511"/>
      <c r="C26" s="511"/>
      <c r="D26" s="519" t="s">
        <v>241</v>
      </c>
      <c r="E26" s="514">
        <v>14000</v>
      </c>
      <c r="F26" s="514"/>
      <c r="G26" s="514">
        <v>3100</v>
      </c>
      <c r="H26" s="514"/>
      <c r="I26" s="514"/>
      <c r="J26" s="514"/>
      <c r="K26" s="514">
        <v>99360</v>
      </c>
      <c r="L26" s="514">
        <f>E26+F26+G26+H26+I26+J26+K26</f>
        <v>116460</v>
      </c>
      <c r="M26" s="513"/>
    </row>
    <row r="27" spans="1:13" ht="15" customHeight="1">
      <c r="A27" s="517" t="s">
        <v>563</v>
      </c>
      <c r="B27" s="511"/>
      <c r="C27" s="511"/>
      <c r="D27" s="519" t="s">
        <v>231</v>
      </c>
      <c r="E27" s="514"/>
      <c r="F27" s="514">
        <v>39160.46</v>
      </c>
      <c r="G27" s="514"/>
      <c r="H27" s="514"/>
      <c r="I27" s="514"/>
      <c r="J27" s="514"/>
      <c r="K27" s="514"/>
      <c r="L27" s="514">
        <f>E27+F27+G27+H27+I27+J27+K27</f>
        <v>39160.46</v>
      </c>
      <c r="M27" s="513"/>
    </row>
    <row r="28" spans="1:13" ht="15" customHeight="1">
      <c r="A28" s="517" t="s">
        <v>562</v>
      </c>
      <c r="B28" s="511"/>
      <c r="C28" s="511"/>
      <c r="D28" s="519" t="s">
        <v>229</v>
      </c>
      <c r="E28" s="514"/>
      <c r="F28" s="514"/>
      <c r="G28" s="514">
        <v>7500</v>
      </c>
      <c r="H28" s="514"/>
      <c r="I28" s="514"/>
      <c r="J28" s="514"/>
      <c r="K28" s="514"/>
      <c r="L28" s="514">
        <f>E28+F28+G28+H28+I28+J28+K28</f>
        <v>7500</v>
      </c>
      <c r="M28" s="513"/>
    </row>
    <row r="29" spans="1:13" ht="15" customHeight="1">
      <c r="A29" s="517" t="s">
        <v>561</v>
      </c>
      <c r="B29" s="511"/>
      <c r="C29" s="511"/>
      <c r="D29" s="519" t="s">
        <v>227</v>
      </c>
      <c r="E29" s="514">
        <v>47845.61</v>
      </c>
      <c r="F29" s="514"/>
      <c r="G29" s="514">
        <v>21000</v>
      </c>
      <c r="H29" s="514"/>
      <c r="I29" s="514"/>
      <c r="J29" s="514"/>
      <c r="K29" s="514">
        <f>44010+33500</f>
        <v>77510</v>
      </c>
      <c r="L29" s="514">
        <f>E29+F29+G29+H29+I29+J29+K29</f>
        <v>146355.61</v>
      </c>
      <c r="M29" s="513"/>
    </row>
    <row r="30" spans="1:13" ht="15" customHeight="1">
      <c r="A30" s="517" t="s">
        <v>560</v>
      </c>
      <c r="B30" s="511"/>
      <c r="C30" s="511"/>
      <c r="D30" s="519" t="s">
        <v>221</v>
      </c>
      <c r="E30" s="514"/>
      <c r="F30" s="514"/>
      <c r="G30" s="514"/>
      <c r="H30" s="514"/>
      <c r="I30" s="514"/>
      <c r="J30" s="514">
        <v>300000</v>
      </c>
      <c r="K30" s="514"/>
      <c r="L30" s="514">
        <f>E30+F30+G30+H30+I30+J30+K30</f>
        <v>300000</v>
      </c>
      <c r="M30" s="513"/>
    </row>
    <row r="31" spans="1:13" ht="15" customHeight="1">
      <c r="A31" s="517" t="s">
        <v>559</v>
      </c>
      <c r="B31" s="511"/>
      <c r="C31" s="511"/>
      <c r="D31" s="519" t="s">
        <v>201</v>
      </c>
      <c r="E31" s="514"/>
      <c r="F31" s="514"/>
      <c r="G31" s="514">
        <v>2000</v>
      </c>
      <c r="H31" s="514"/>
      <c r="I31" s="514">
        <v>34714.8</v>
      </c>
      <c r="J31" s="514"/>
      <c r="K31" s="514">
        <v>29400</v>
      </c>
      <c r="L31" s="514">
        <f>E31+F31+G31+H31+I31+J31+K31</f>
        <v>66114.8</v>
      </c>
      <c r="M31" s="513"/>
    </row>
    <row r="32" spans="1:13" ht="15" customHeight="1">
      <c r="A32" s="517" t="s">
        <v>558</v>
      </c>
      <c r="B32" s="511"/>
      <c r="C32" s="511"/>
      <c r="D32" s="519" t="s">
        <v>189</v>
      </c>
      <c r="E32" s="514"/>
      <c r="F32" s="514"/>
      <c r="G32" s="514"/>
      <c r="H32" s="514"/>
      <c r="I32" s="514"/>
      <c r="J32" s="514"/>
      <c r="K32" s="514">
        <v>33300</v>
      </c>
      <c r="L32" s="514">
        <f>E32+F32+G32+H32+I32+J32+K32</f>
        <v>33300</v>
      </c>
      <c r="M32" s="513"/>
    </row>
    <row r="33" spans="1:13" ht="28.5" customHeight="1">
      <c r="A33" s="512"/>
      <c r="B33" s="511"/>
      <c r="C33" s="511"/>
      <c r="D33" s="518" t="s">
        <v>557</v>
      </c>
      <c r="E33" s="509">
        <f>SUM(E17:E32)</f>
        <v>61845.61</v>
      </c>
      <c r="F33" s="509">
        <f>SUM(F17:F32)</f>
        <v>39160.46</v>
      </c>
      <c r="G33" s="509">
        <f>SUM(G17:G32)</f>
        <v>64329</v>
      </c>
      <c r="H33" s="509">
        <f>SUM(H17:H32)</f>
        <v>0</v>
      </c>
      <c r="I33" s="509">
        <f>SUM(I17:I32)</f>
        <v>34714.8</v>
      </c>
      <c r="J33" s="509">
        <f>SUM(J17:J32)</f>
        <v>300000</v>
      </c>
      <c r="K33" s="509">
        <f>SUM(K17:K32)</f>
        <v>556858</v>
      </c>
      <c r="L33" s="509">
        <f>SUM(L17:L32)</f>
        <v>1056907.87</v>
      </c>
      <c r="M33" s="508"/>
    </row>
    <row r="34" spans="1:13" ht="42.75">
      <c r="A34" s="512"/>
      <c r="B34" s="511"/>
      <c r="C34" s="511"/>
      <c r="D34" s="518" t="s">
        <v>556</v>
      </c>
      <c r="E34" s="509">
        <f>E33+E16</f>
        <v>61845.61</v>
      </c>
      <c r="F34" s="509">
        <f>F33+F16</f>
        <v>39160.46</v>
      </c>
      <c r="G34" s="509">
        <f>G33+G16</f>
        <v>122071</v>
      </c>
      <c r="H34" s="509">
        <f>H33+H16</f>
        <v>170000</v>
      </c>
      <c r="I34" s="509">
        <f>I33+I16</f>
        <v>34714.8</v>
      </c>
      <c r="J34" s="509">
        <f>J33+J16</f>
        <v>300000</v>
      </c>
      <c r="K34" s="509">
        <f>K33+K16</f>
        <v>556858</v>
      </c>
      <c r="L34" s="509">
        <f>L33+L16</f>
        <v>1284649.87</v>
      </c>
      <c r="M34" s="508"/>
    </row>
    <row r="35" spans="1:13" ht="15.75">
      <c r="A35" s="517">
        <v>17100000000</v>
      </c>
      <c r="B35" s="511"/>
      <c r="C35" s="511"/>
      <c r="D35" s="516" t="s">
        <v>555</v>
      </c>
      <c r="E35" s="515"/>
      <c r="F35" s="515"/>
      <c r="G35" s="515"/>
      <c r="H35" s="515"/>
      <c r="I35" s="515"/>
      <c r="J35" s="515"/>
      <c r="K35" s="515"/>
      <c r="L35" s="514">
        <f>E35+F35+G35+H35+I35+J35+K35</f>
        <v>0</v>
      </c>
      <c r="M35" s="513"/>
    </row>
    <row r="36" spans="1:15" ht="25.5" customHeight="1">
      <c r="A36" s="512"/>
      <c r="B36" s="511"/>
      <c r="C36" s="511"/>
      <c r="D36" s="510" t="s">
        <v>554</v>
      </c>
      <c r="E36" s="509">
        <f>E34+E35</f>
        <v>61845.61</v>
      </c>
      <c r="F36" s="509">
        <f>F34+F35</f>
        <v>39160.46</v>
      </c>
      <c r="G36" s="509">
        <f>G34+G35</f>
        <v>122071</v>
      </c>
      <c r="H36" s="509">
        <f>H34+H35</f>
        <v>170000</v>
      </c>
      <c r="I36" s="509">
        <f>I34+I35</f>
        <v>34714.8</v>
      </c>
      <c r="J36" s="509">
        <f>J34+J35</f>
        <v>300000</v>
      </c>
      <c r="K36" s="509">
        <f>K34+K35</f>
        <v>556858</v>
      </c>
      <c r="L36" s="509">
        <f>L34+L35</f>
        <v>1284649.87</v>
      </c>
      <c r="M36" s="508"/>
      <c r="N36" s="501"/>
      <c r="O36" s="501"/>
    </row>
    <row r="37" ht="15" customHeight="1">
      <c r="A37" s="499"/>
    </row>
    <row r="38" spans="2:14" ht="22.5" customHeight="1">
      <c r="B38" s="507"/>
      <c r="C38" s="507"/>
      <c r="D38" s="507" t="s">
        <v>553</v>
      </c>
      <c r="E38" s="507"/>
      <c r="F38" s="507"/>
      <c r="G38" s="507"/>
      <c r="H38" s="507"/>
      <c r="J38" s="506"/>
      <c r="K38" s="506"/>
      <c r="L38" s="506" t="s">
        <v>70</v>
      </c>
      <c r="M38" s="505"/>
      <c r="N38" s="501"/>
    </row>
    <row r="39" ht="15.75">
      <c r="A39" s="499"/>
    </row>
    <row r="40" spans="1:11" ht="15.75">
      <c r="A40" s="499"/>
      <c r="D40" s="504"/>
      <c r="E40" s="504"/>
      <c r="F40" s="504"/>
      <c r="G40" s="504"/>
      <c r="H40" s="504"/>
      <c r="I40" s="504"/>
      <c r="J40" s="504"/>
      <c r="K40" s="504"/>
    </row>
    <row r="41" spans="1:28" ht="15.75">
      <c r="A41" s="499"/>
      <c r="L41" s="502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3"/>
      <c r="AA41" s="503"/>
      <c r="AB41" s="503"/>
    </row>
    <row r="42" ht="15.75">
      <c r="A42" s="499"/>
    </row>
    <row r="43" spans="1:13" ht="15.75">
      <c r="A43" s="499"/>
      <c r="L43" s="502"/>
      <c r="M43" s="501"/>
    </row>
    <row r="44" ht="15.75">
      <c r="A44" s="499"/>
    </row>
    <row r="45" ht="15.75">
      <c r="A45" s="499"/>
    </row>
    <row r="46" spans="1:11" ht="45.75" customHeight="1">
      <c r="A46" s="499"/>
      <c r="D46" s="500"/>
      <c r="E46" s="500"/>
      <c r="F46" s="500"/>
      <c r="G46" s="500"/>
      <c r="H46" s="500"/>
      <c r="I46" s="500"/>
      <c r="J46" s="500"/>
      <c r="K46" s="500"/>
    </row>
    <row r="47" ht="15.75">
      <c r="A47" s="499"/>
    </row>
    <row r="48" ht="15.75">
      <c r="A48" s="499"/>
    </row>
    <row r="49" ht="15.75">
      <c r="A49" s="499"/>
    </row>
    <row r="50" ht="15.75">
      <c r="A50" s="499"/>
    </row>
    <row r="51" ht="15.75">
      <c r="A51" s="499"/>
    </row>
    <row r="52" ht="15.75">
      <c r="A52" s="499"/>
    </row>
    <row r="53" ht="15.75">
      <c r="A53" s="499"/>
    </row>
    <row r="54" ht="15.75">
      <c r="A54" s="499"/>
    </row>
    <row r="55" ht="15.75">
      <c r="A55" s="499"/>
    </row>
    <row r="56" ht="15.75">
      <c r="A56" s="499"/>
    </row>
    <row r="57" ht="15.75">
      <c r="A57" s="499"/>
    </row>
    <row r="58" ht="15.75">
      <c r="A58" s="499"/>
    </row>
    <row r="59" ht="15.75">
      <c r="A59" s="499"/>
    </row>
    <row r="60" ht="15.75">
      <c r="A60" s="499"/>
    </row>
    <row r="61" ht="15.75">
      <c r="A61" s="499"/>
    </row>
    <row r="62" ht="15.75">
      <c r="A62" s="499"/>
    </row>
    <row r="63" ht="15.75">
      <c r="A63" s="499"/>
    </row>
    <row r="64" ht="15.75">
      <c r="A64" s="499"/>
    </row>
    <row r="65" ht="15.75">
      <c r="A65" s="499"/>
    </row>
    <row r="66" ht="15.75">
      <c r="A66" s="499"/>
    </row>
    <row r="67" ht="15.75">
      <c r="A67" s="499"/>
    </row>
    <row r="68" ht="15.75">
      <c r="A68" s="499"/>
    </row>
    <row r="69" ht="15.75">
      <c r="A69" s="499"/>
    </row>
    <row r="70" ht="15.75">
      <c r="A70" s="499"/>
    </row>
    <row r="71" ht="15.75">
      <c r="A71" s="499"/>
    </row>
    <row r="72" ht="15.75">
      <c r="A72" s="499"/>
    </row>
    <row r="73" ht="15.75">
      <c r="A73" s="499"/>
    </row>
    <row r="74" ht="15.75">
      <c r="A74" s="499"/>
    </row>
    <row r="75" ht="15.75">
      <c r="A75" s="499"/>
    </row>
    <row r="76" ht="15.75">
      <c r="A76" s="499"/>
    </row>
    <row r="77" ht="15.75">
      <c r="A77" s="499"/>
    </row>
    <row r="78" ht="15.75">
      <c r="A78" s="499"/>
    </row>
    <row r="79" ht="15.75">
      <c r="A79" s="499"/>
    </row>
    <row r="80" ht="15.75">
      <c r="A80" s="499"/>
    </row>
    <row r="81" ht="15.75">
      <c r="A81" s="499"/>
    </row>
    <row r="82" ht="15.75">
      <c r="A82" s="499"/>
    </row>
    <row r="83" ht="15.75">
      <c r="A83" s="499"/>
    </row>
    <row r="84" ht="15.75">
      <c r="A84" s="499"/>
    </row>
    <row r="85" ht="15.75">
      <c r="A85" s="499"/>
    </row>
    <row r="86" ht="15.75">
      <c r="A86" s="499"/>
    </row>
    <row r="87" ht="15.75">
      <c r="A87" s="499"/>
    </row>
    <row r="88" ht="15.75">
      <c r="A88" s="499"/>
    </row>
    <row r="89" ht="15.75">
      <c r="A89" s="499"/>
    </row>
    <row r="90" ht="15.75">
      <c r="A90" s="499"/>
    </row>
    <row r="91" ht="15.75">
      <c r="A91" s="499"/>
    </row>
    <row r="92" ht="15.75">
      <c r="A92" s="499"/>
    </row>
    <row r="93" ht="15.75">
      <c r="A93" s="499"/>
    </row>
    <row r="94" ht="15.75">
      <c r="A94" s="499"/>
    </row>
    <row r="95" ht="15.75">
      <c r="A95" s="499"/>
    </row>
    <row r="96" ht="15.75">
      <c r="A96" s="499"/>
    </row>
    <row r="97" ht="15.75">
      <c r="A97" s="499"/>
    </row>
    <row r="98" ht="15.75">
      <c r="A98" s="499"/>
    </row>
    <row r="99" ht="15.75">
      <c r="A99" s="499"/>
    </row>
    <row r="100" ht="15.75">
      <c r="A100" s="499"/>
    </row>
    <row r="101" ht="15.75">
      <c r="A101" s="499"/>
    </row>
    <row r="102" ht="15.75">
      <c r="A102" s="499"/>
    </row>
    <row r="103" ht="15.75">
      <c r="A103" s="499"/>
    </row>
    <row r="104" ht="15.75">
      <c r="A104" s="499"/>
    </row>
    <row r="105" ht="15.75">
      <c r="A105" s="499"/>
    </row>
    <row r="106" ht="15.75">
      <c r="A106" s="499"/>
    </row>
    <row r="107" ht="15.75">
      <c r="A107" s="499"/>
    </row>
    <row r="108" ht="15.75">
      <c r="A108" s="499"/>
    </row>
    <row r="109" ht="15.75">
      <c r="A109" s="499"/>
    </row>
    <row r="110" ht="15.75">
      <c r="A110" s="499"/>
    </row>
    <row r="111" ht="15.75">
      <c r="A111" s="499"/>
    </row>
    <row r="112" ht="15.75">
      <c r="A112" s="499"/>
    </row>
    <row r="113" ht="15.75">
      <c r="A113" s="499"/>
    </row>
    <row r="114" ht="15.75">
      <c r="A114" s="499"/>
    </row>
    <row r="115" ht="15.75">
      <c r="A115" s="499"/>
    </row>
    <row r="116" ht="15.75">
      <c r="A116" s="499"/>
    </row>
    <row r="117" ht="15.75">
      <c r="A117" s="499"/>
    </row>
    <row r="118" ht="15.75">
      <c r="A118" s="499"/>
    </row>
    <row r="119" ht="15.75">
      <c r="A119" s="499"/>
    </row>
    <row r="120" ht="15.75">
      <c r="A120" s="499"/>
    </row>
    <row r="121" ht="15.75">
      <c r="A121" s="499"/>
    </row>
    <row r="122" ht="15.75">
      <c r="A122" s="499"/>
    </row>
    <row r="123" ht="15.75">
      <c r="A123" s="499"/>
    </row>
    <row r="124" ht="15.75">
      <c r="A124" s="499"/>
    </row>
    <row r="125" ht="15.75">
      <c r="A125" s="499"/>
    </row>
    <row r="126" ht="15.75">
      <c r="A126" s="499"/>
    </row>
    <row r="127" ht="15.75">
      <c r="A127" s="499"/>
    </row>
    <row r="128" ht="15.75">
      <c r="A128" s="499"/>
    </row>
    <row r="129" ht="15.75">
      <c r="A129" s="499"/>
    </row>
    <row r="130" ht="15.75">
      <c r="A130" s="499"/>
    </row>
    <row r="131" ht="15.75">
      <c r="A131" s="499"/>
    </row>
    <row r="132" ht="15.75">
      <c r="A132" s="499"/>
    </row>
    <row r="133" ht="15.75">
      <c r="A133" s="499"/>
    </row>
    <row r="134" ht="15.75">
      <c r="A134" s="499"/>
    </row>
    <row r="135" ht="15.75">
      <c r="A135" s="499"/>
    </row>
    <row r="136" ht="15.75">
      <c r="A136" s="499"/>
    </row>
    <row r="137" ht="15.75">
      <c r="A137" s="499"/>
    </row>
    <row r="138" ht="15.75">
      <c r="A138" s="499"/>
    </row>
    <row r="139" ht="15.75">
      <c r="A139" s="499"/>
    </row>
    <row r="140" ht="15.75">
      <c r="A140" s="499"/>
    </row>
    <row r="141" ht="15.75">
      <c r="A141" s="499"/>
    </row>
    <row r="142" ht="15.75">
      <c r="A142" s="499"/>
    </row>
    <row r="143" ht="15.75">
      <c r="A143" s="499"/>
    </row>
    <row r="144" ht="15.75">
      <c r="A144" s="499"/>
    </row>
    <row r="145" ht="15.75">
      <c r="A145" s="499"/>
    </row>
    <row r="146" ht="15.75">
      <c r="A146" s="499"/>
    </row>
    <row r="147" ht="15.75">
      <c r="A147" s="499"/>
    </row>
    <row r="148" ht="15.75">
      <c r="A148" s="499"/>
    </row>
    <row r="149" ht="15.75">
      <c r="A149" s="499"/>
    </row>
    <row r="150" ht="15.75">
      <c r="A150" s="499"/>
    </row>
    <row r="151" ht="15.75">
      <c r="A151" s="499"/>
    </row>
    <row r="152" ht="15.75">
      <c r="A152" s="499"/>
    </row>
    <row r="153" ht="15.75">
      <c r="A153" s="499"/>
    </row>
    <row r="154" ht="15.75">
      <c r="A154" s="499"/>
    </row>
    <row r="155" ht="15.75">
      <c r="A155" s="499"/>
    </row>
    <row r="156" ht="15.75">
      <c r="A156" s="499"/>
    </row>
    <row r="157" ht="15.75">
      <c r="A157" s="499"/>
    </row>
    <row r="158" ht="15.75">
      <c r="A158" s="499"/>
    </row>
    <row r="159" ht="15.75">
      <c r="A159" s="499"/>
    </row>
    <row r="160" ht="15.75">
      <c r="A160" s="499"/>
    </row>
  </sheetData>
  <sheetProtection/>
  <mergeCells count="11">
    <mergeCell ref="H8:K8"/>
    <mergeCell ref="A7:A10"/>
    <mergeCell ref="B7:B10"/>
    <mergeCell ref="C7:C10"/>
    <mergeCell ref="D7:D10"/>
    <mergeCell ref="E5:L5"/>
    <mergeCell ref="E7:L7"/>
    <mergeCell ref="L8:L10"/>
    <mergeCell ref="E8:G8"/>
    <mergeCell ref="E9:G9"/>
    <mergeCell ref="H9:K9"/>
  </mergeCells>
  <printOptions/>
  <pageMargins left="0.31496062992125984" right="0.1968503937007874" top="0.3937007874015748" bottom="0.15748031496062992" header="0.2362204724409449" footer="0.15748031496062992"/>
  <pageSetup fitToHeight="3" fitToWidth="3" horizontalDpi="600" verticalDpi="600" orientation="landscape" paperSize="9" scale="7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3.75390625" style="0" customWidth="1"/>
    <col min="4" max="4" width="14.25390625" style="0" customWidth="1"/>
    <col min="5" max="5" width="11.125" style="0" customWidth="1"/>
    <col min="6" max="6" width="14.625" style="0" customWidth="1"/>
    <col min="7" max="7" width="12.125" style="0" customWidth="1"/>
    <col min="8" max="8" width="12.25390625" style="0" customWidth="1"/>
    <col min="9" max="9" width="11.625" style="0" customWidth="1"/>
    <col min="10" max="10" width="12.00390625" style="0" customWidth="1"/>
    <col min="11" max="11" width="13.00390625" style="0" customWidth="1"/>
    <col min="12" max="12" width="13.875" style="0" customWidth="1"/>
    <col min="13" max="13" width="11.375" style="0" customWidth="1"/>
    <col min="14" max="14" width="16.875" style="0" customWidth="1"/>
  </cols>
  <sheetData>
    <row r="1" spans="11:14" ht="15">
      <c r="K1" s="496" t="s">
        <v>552</v>
      </c>
      <c r="L1" s="495"/>
      <c r="M1" s="495"/>
      <c r="N1" s="495"/>
    </row>
    <row r="2" spans="11:14" ht="15">
      <c r="K2" s="496" t="s">
        <v>551</v>
      </c>
      <c r="L2" s="495"/>
      <c r="M2" s="495"/>
      <c r="N2" s="495"/>
    </row>
    <row r="3" spans="11:14" ht="15">
      <c r="K3" s="496" t="s">
        <v>550</v>
      </c>
      <c r="L3" s="495"/>
      <c r="M3" s="495"/>
      <c r="N3" s="495"/>
    </row>
    <row r="4" ht="14.25">
      <c r="K4" s="494"/>
    </row>
    <row r="6" spans="1:14" ht="18.75">
      <c r="A6" s="493" t="s">
        <v>549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7" ht="12.75">
      <c r="N7" s="492" t="s">
        <v>548</v>
      </c>
    </row>
    <row r="8" spans="1:14" ht="78.75" customHeight="1">
      <c r="A8" s="419" t="s">
        <v>8</v>
      </c>
      <c r="B8" s="490" t="s">
        <v>10</v>
      </c>
      <c r="C8" s="488" t="s">
        <v>547</v>
      </c>
      <c r="D8" s="488"/>
      <c r="E8" s="488"/>
      <c r="F8" s="488"/>
      <c r="G8" s="488" t="s">
        <v>546</v>
      </c>
      <c r="H8" s="488"/>
      <c r="I8" s="488"/>
      <c r="J8" s="488"/>
      <c r="K8" s="488" t="s">
        <v>545</v>
      </c>
      <c r="L8" s="488"/>
      <c r="M8" s="488"/>
      <c r="N8" s="488"/>
    </row>
    <row r="9" spans="1:14" ht="22.5" customHeight="1">
      <c r="A9" s="417" t="s">
        <v>508</v>
      </c>
      <c r="B9" s="488" t="s">
        <v>11</v>
      </c>
      <c r="C9" s="488" t="s">
        <v>536</v>
      </c>
      <c r="D9" s="491" t="s">
        <v>544</v>
      </c>
      <c r="E9" s="491"/>
      <c r="F9" s="488" t="s">
        <v>534</v>
      </c>
      <c r="G9" s="488" t="s">
        <v>536</v>
      </c>
      <c r="H9" s="491" t="s">
        <v>544</v>
      </c>
      <c r="I9" s="491"/>
      <c r="J9" s="488" t="s">
        <v>534</v>
      </c>
      <c r="K9" s="488" t="s">
        <v>536</v>
      </c>
      <c r="L9" s="491" t="s">
        <v>544</v>
      </c>
      <c r="M9" s="491"/>
      <c r="N9" s="488" t="s">
        <v>534</v>
      </c>
    </row>
    <row r="10" spans="1:14" ht="69.75" customHeight="1">
      <c r="A10" s="417"/>
      <c r="B10" s="488"/>
      <c r="C10" s="488"/>
      <c r="D10" s="490" t="s">
        <v>0</v>
      </c>
      <c r="E10" s="489" t="s">
        <v>532</v>
      </c>
      <c r="F10" s="488"/>
      <c r="G10" s="488"/>
      <c r="H10" s="490" t="s">
        <v>0</v>
      </c>
      <c r="I10" s="489" t="s">
        <v>532</v>
      </c>
      <c r="J10" s="488"/>
      <c r="K10" s="488"/>
      <c r="L10" s="490" t="s">
        <v>0</v>
      </c>
      <c r="M10" s="489" t="s">
        <v>532</v>
      </c>
      <c r="N10" s="488"/>
    </row>
    <row r="11" spans="1:14" ht="33.75" customHeight="1">
      <c r="A11" s="486">
        <v>11</v>
      </c>
      <c r="B11" s="485" t="s">
        <v>72</v>
      </c>
      <c r="C11" s="487">
        <f>C12</f>
        <v>0</v>
      </c>
      <c r="D11" s="487">
        <f>D12</f>
        <v>132308.25</v>
      </c>
      <c r="E11" s="487">
        <f>E12</f>
        <v>0</v>
      </c>
      <c r="F11" s="487">
        <f>F12</f>
        <v>132308.25</v>
      </c>
      <c r="G11" s="487">
        <f>G12</f>
        <v>0</v>
      </c>
      <c r="H11" s="487">
        <f>H12</f>
        <v>0</v>
      </c>
      <c r="I11" s="487">
        <f>I12</f>
        <v>0</v>
      </c>
      <c r="J11" s="487">
        <f>J12</f>
        <v>0</v>
      </c>
      <c r="K11" s="487">
        <f>K12</f>
        <v>0</v>
      </c>
      <c r="L11" s="487">
        <f>L12</f>
        <v>132308.25</v>
      </c>
      <c r="M11" s="487">
        <f>M12</f>
        <v>0</v>
      </c>
      <c r="N11" s="487">
        <f>N12</f>
        <v>132308.25</v>
      </c>
    </row>
    <row r="12" spans="1:14" ht="78.75">
      <c r="A12" s="482">
        <v>250908</v>
      </c>
      <c r="B12" s="481" t="s">
        <v>74</v>
      </c>
      <c r="C12" s="480">
        <v>0</v>
      </c>
      <c r="D12" s="480">
        <f>115504.11+16804.14</f>
        <v>132308.25</v>
      </c>
      <c r="E12" s="480">
        <v>0</v>
      </c>
      <c r="F12" s="480">
        <f>C12+D12</f>
        <v>132308.25</v>
      </c>
      <c r="G12" s="480">
        <v>0</v>
      </c>
      <c r="H12" s="480">
        <v>0</v>
      </c>
      <c r="I12" s="480">
        <v>0</v>
      </c>
      <c r="J12" s="480">
        <v>0</v>
      </c>
      <c r="K12" s="480">
        <f>C12+G12</f>
        <v>0</v>
      </c>
      <c r="L12" s="480">
        <f>D12+H12</f>
        <v>132308.25</v>
      </c>
      <c r="M12" s="480">
        <f>E12+I12</f>
        <v>0</v>
      </c>
      <c r="N12" s="480">
        <f>F12+J12</f>
        <v>132308.25</v>
      </c>
    </row>
    <row r="13" spans="1:14" ht="31.5">
      <c r="A13" s="486">
        <v>53</v>
      </c>
      <c r="B13" s="485" t="s">
        <v>51</v>
      </c>
      <c r="C13" s="484">
        <f>C14+C15</f>
        <v>470750</v>
      </c>
      <c r="D13" s="484">
        <f>D14+D15</f>
        <v>549000</v>
      </c>
      <c r="E13" s="484">
        <f>E14+E15</f>
        <v>0</v>
      </c>
      <c r="F13" s="484">
        <f>F14+F15</f>
        <v>1019750</v>
      </c>
      <c r="G13" s="484">
        <f>G14+G15</f>
        <v>0</v>
      </c>
      <c r="H13" s="484">
        <f>H14+H15</f>
        <v>0</v>
      </c>
      <c r="I13" s="484">
        <f>I14+I15</f>
        <v>0</v>
      </c>
      <c r="J13" s="484">
        <f>J14+J15</f>
        <v>0</v>
      </c>
      <c r="K13" s="484">
        <f>K14+K15</f>
        <v>470750</v>
      </c>
      <c r="L13" s="484">
        <f>L14+L15</f>
        <v>549000</v>
      </c>
      <c r="M13" s="484">
        <f>M14+M15</f>
        <v>0</v>
      </c>
      <c r="N13" s="484">
        <f>N14+N15</f>
        <v>1019750</v>
      </c>
    </row>
    <row r="14" spans="1:14" ht="46.5" customHeight="1">
      <c r="A14" s="482" t="s">
        <v>543</v>
      </c>
      <c r="B14" s="481" t="s">
        <v>49</v>
      </c>
      <c r="C14" s="483">
        <v>400000</v>
      </c>
      <c r="D14" s="483">
        <f>78000+147000</f>
        <v>225000</v>
      </c>
      <c r="E14" s="483">
        <v>0</v>
      </c>
      <c r="F14" s="478">
        <f>C14+D14</f>
        <v>625000</v>
      </c>
      <c r="G14" s="483">
        <v>0</v>
      </c>
      <c r="H14" s="483">
        <v>0</v>
      </c>
      <c r="I14" s="483">
        <v>0</v>
      </c>
      <c r="J14" s="480">
        <f>G14+H14</f>
        <v>0</v>
      </c>
      <c r="K14" s="478">
        <f>C14+G14</f>
        <v>400000</v>
      </c>
      <c r="L14" s="478">
        <f>D14+H14</f>
        <v>225000</v>
      </c>
      <c r="M14" s="478">
        <f>E14+I14</f>
        <v>0</v>
      </c>
      <c r="N14" s="478">
        <f>F14+J14</f>
        <v>625000</v>
      </c>
    </row>
    <row r="15" spans="1:14" ht="47.25">
      <c r="A15" s="482">
        <v>250911</v>
      </c>
      <c r="B15" s="481" t="s">
        <v>76</v>
      </c>
      <c r="C15" s="478">
        <v>70750</v>
      </c>
      <c r="D15" s="478">
        <f>165000+159000</f>
        <v>324000</v>
      </c>
      <c r="E15" s="478">
        <v>0</v>
      </c>
      <c r="F15" s="478">
        <f>C15+D15</f>
        <v>394750</v>
      </c>
      <c r="G15" s="478">
        <v>0</v>
      </c>
      <c r="H15" s="478">
        <v>0</v>
      </c>
      <c r="I15" s="478">
        <v>0</v>
      </c>
      <c r="J15" s="480">
        <f>G15+H15</f>
        <v>0</v>
      </c>
      <c r="K15" s="478">
        <f>C15+G15</f>
        <v>70750</v>
      </c>
      <c r="L15" s="478">
        <f>D15+H15</f>
        <v>324000</v>
      </c>
      <c r="M15" s="478">
        <f>E15+I15</f>
        <v>0</v>
      </c>
      <c r="N15" s="478">
        <f>F15+J15</f>
        <v>394750</v>
      </c>
    </row>
    <row r="16" spans="1:14" ht="16.5">
      <c r="A16" s="28"/>
      <c r="B16" s="479" t="s">
        <v>0</v>
      </c>
      <c r="C16" s="478">
        <f>C13+C11</f>
        <v>470750</v>
      </c>
      <c r="D16" s="478">
        <f>D13+D11</f>
        <v>681308.25</v>
      </c>
      <c r="E16" s="478">
        <f>E13+E11</f>
        <v>0</v>
      </c>
      <c r="F16" s="478">
        <f>F13+F11</f>
        <v>1152058.25</v>
      </c>
      <c r="G16" s="478">
        <f>G13+G11</f>
        <v>0</v>
      </c>
      <c r="H16" s="478">
        <f>H13+H11</f>
        <v>0</v>
      </c>
      <c r="I16" s="478">
        <f>I13+I11</f>
        <v>0</v>
      </c>
      <c r="J16" s="478">
        <f>J13+J11</f>
        <v>0</v>
      </c>
      <c r="K16" s="478">
        <f>K13+K11</f>
        <v>470750</v>
      </c>
      <c r="L16" s="478">
        <f>L13+L11</f>
        <v>681308.25</v>
      </c>
      <c r="M16" s="478">
        <f>M13+M11</f>
        <v>0</v>
      </c>
      <c r="N16" s="478">
        <f>N13+N11</f>
        <v>1152058.25</v>
      </c>
    </row>
    <row r="17" ht="27" customHeight="1"/>
    <row r="18" ht="31.5" customHeight="1"/>
    <row r="19" spans="1:14" ht="28.5" customHeight="1">
      <c r="A19" s="477" t="s">
        <v>542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 t="s">
        <v>70</v>
      </c>
      <c r="M19" s="477"/>
      <c r="N19" s="476"/>
    </row>
  </sheetData>
  <sheetProtection/>
  <mergeCells count="15">
    <mergeCell ref="G8:J8"/>
    <mergeCell ref="K8:N8"/>
    <mergeCell ref="H9:I9"/>
    <mergeCell ref="A9:A10"/>
    <mergeCell ref="B9:B10"/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</mergeCells>
  <printOptions/>
  <pageMargins left="0.984251968503937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Normal="80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9.875" style="426" customWidth="1"/>
    <col min="2" max="2" width="29.125" style="425" customWidth="1"/>
    <col min="3" max="3" width="17.125" style="424" customWidth="1"/>
    <col min="4" max="4" width="16.75390625" style="424" customWidth="1"/>
    <col min="5" max="5" width="16.25390625" style="423" customWidth="1"/>
    <col min="6" max="6" width="16.25390625" style="424" customWidth="1"/>
    <col min="7" max="16384" width="9.125" style="423" customWidth="1"/>
  </cols>
  <sheetData>
    <row r="1" spans="3:6" ht="16.5" customHeight="1">
      <c r="C1" s="473"/>
      <c r="D1" s="475" t="s">
        <v>541</v>
      </c>
      <c r="E1" s="475"/>
      <c r="F1" s="475"/>
    </row>
    <row r="2" spans="3:6" ht="17.25" customHeight="1">
      <c r="C2" s="473"/>
      <c r="D2" s="474" t="s">
        <v>6</v>
      </c>
      <c r="E2" s="474"/>
      <c r="F2" s="474"/>
    </row>
    <row r="3" spans="3:6" ht="18" customHeight="1">
      <c r="C3" s="473"/>
      <c r="D3" s="474" t="s">
        <v>540</v>
      </c>
      <c r="E3" s="474"/>
      <c r="F3" s="474"/>
    </row>
    <row r="4" spans="3:6" ht="17.25" customHeight="1">
      <c r="C4" s="473"/>
      <c r="D4" s="473"/>
      <c r="E4" s="473"/>
      <c r="F4" s="473"/>
    </row>
    <row r="5" spans="1:6" ht="30.75" customHeight="1">
      <c r="A5" s="472" t="s">
        <v>539</v>
      </c>
      <c r="B5" s="472"/>
      <c r="C5" s="472"/>
      <c r="D5" s="472"/>
      <c r="E5" s="472"/>
      <c r="F5" s="472"/>
    </row>
    <row r="6" ht="15" thickBot="1">
      <c r="F6" s="471" t="s">
        <v>7</v>
      </c>
    </row>
    <row r="7" spans="1:6" ht="39" customHeight="1">
      <c r="A7" s="470" t="s">
        <v>538</v>
      </c>
      <c r="B7" s="469" t="s">
        <v>537</v>
      </c>
      <c r="C7" s="468" t="s">
        <v>536</v>
      </c>
      <c r="D7" s="467" t="s">
        <v>535</v>
      </c>
      <c r="E7" s="467"/>
      <c r="F7" s="466" t="s">
        <v>534</v>
      </c>
    </row>
    <row r="8" spans="1:6" ht="62.25" customHeight="1">
      <c r="A8" s="465"/>
      <c r="B8" s="464"/>
      <c r="C8" s="463"/>
      <c r="D8" s="462" t="s">
        <v>533</v>
      </c>
      <c r="E8" s="461" t="s">
        <v>532</v>
      </c>
      <c r="F8" s="460"/>
    </row>
    <row r="9" spans="1:6" s="454" customFormat="1" ht="16.5" customHeight="1">
      <c r="A9" s="459">
        <v>1</v>
      </c>
      <c r="B9" s="458">
        <v>2</v>
      </c>
      <c r="C9" s="457">
        <v>3</v>
      </c>
      <c r="D9" s="457">
        <v>4</v>
      </c>
      <c r="E9" s="456">
        <v>5</v>
      </c>
      <c r="F9" s="455">
        <v>6</v>
      </c>
    </row>
    <row r="10" spans="1:7" s="452" customFormat="1" ht="39.75" customHeight="1">
      <c r="A10" s="450" t="s">
        <v>531</v>
      </c>
      <c r="B10" s="449" t="s">
        <v>530</v>
      </c>
      <c r="C10" s="448">
        <f>C11</f>
        <v>12962438.9</v>
      </c>
      <c r="D10" s="448">
        <f>D11</f>
        <v>71172298.95</v>
      </c>
      <c r="E10" s="448">
        <f>E11</f>
        <v>20394509.71</v>
      </c>
      <c r="F10" s="447">
        <f>SUM(D10,C10)</f>
        <v>84134737.85000001</v>
      </c>
      <c r="G10" s="453"/>
    </row>
    <row r="11" spans="1:7" s="452" customFormat="1" ht="54.75" customHeight="1">
      <c r="A11" s="450">
        <v>208000</v>
      </c>
      <c r="B11" s="449" t="s">
        <v>529</v>
      </c>
      <c r="C11" s="448">
        <f>C12+C13</f>
        <v>12962438.9</v>
      </c>
      <c r="D11" s="448">
        <f>D12+D13</f>
        <v>71172298.95</v>
      </c>
      <c r="E11" s="448">
        <f>E12+E13</f>
        <v>20394509.71</v>
      </c>
      <c r="F11" s="447">
        <f>SUM(D11,C11)</f>
        <v>84134737.85000001</v>
      </c>
      <c r="G11" s="453"/>
    </row>
    <row r="12" spans="1:7" s="452" customFormat="1" ht="16.5">
      <c r="A12" s="444">
        <v>208100</v>
      </c>
      <c r="B12" s="443" t="s">
        <v>528</v>
      </c>
      <c r="C12" s="451">
        <v>12962438.9</v>
      </c>
      <c r="D12" s="445">
        <v>71172298.95</v>
      </c>
      <c r="E12" s="445">
        <v>20394509.71</v>
      </c>
      <c r="F12" s="441">
        <f>SUM(D12,C12)</f>
        <v>84134737.85000001</v>
      </c>
      <c r="G12" s="453"/>
    </row>
    <row r="13" spans="1:7" s="452" customFormat="1" ht="99">
      <c r="A13" s="444" t="s">
        <v>527</v>
      </c>
      <c r="B13" s="443" t="s">
        <v>518</v>
      </c>
      <c r="C13" s="451"/>
      <c r="D13" s="445"/>
      <c r="E13" s="445"/>
      <c r="F13" s="441">
        <f>SUM(D13,C13)</f>
        <v>0</v>
      </c>
      <c r="G13" s="453"/>
    </row>
    <row r="14" spans="1:7" ht="34.5" customHeight="1">
      <c r="A14" s="444"/>
      <c r="B14" s="443" t="s">
        <v>526</v>
      </c>
      <c r="C14" s="451">
        <f>C10</f>
        <v>12962438.9</v>
      </c>
      <c r="D14" s="445">
        <f>D10</f>
        <v>71172298.95</v>
      </c>
      <c r="E14" s="445">
        <f>E10</f>
        <v>20394509.71</v>
      </c>
      <c r="F14" s="441">
        <f>SUM(D14,C14)</f>
        <v>84134737.85000001</v>
      </c>
      <c r="G14" s="435"/>
    </row>
    <row r="15" spans="1:9" ht="38.25" customHeight="1">
      <c r="A15" s="450" t="s">
        <v>525</v>
      </c>
      <c r="B15" s="449" t="s">
        <v>524</v>
      </c>
      <c r="C15" s="448">
        <f>C16</f>
        <v>12962438.9</v>
      </c>
      <c r="D15" s="448">
        <f>D16</f>
        <v>71172298.95</v>
      </c>
      <c r="E15" s="448">
        <f>E16</f>
        <v>20394509.71</v>
      </c>
      <c r="F15" s="447">
        <f>SUM(D15,C15)</f>
        <v>84134737.85000001</v>
      </c>
      <c r="G15" s="435"/>
      <c r="I15" s="440"/>
    </row>
    <row r="16" spans="1:9" ht="32.25" customHeight="1">
      <c r="A16" s="450" t="s">
        <v>523</v>
      </c>
      <c r="B16" s="449" t="s">
        <v>522</v>
      </c>
      <c r="C16" s="448">
        <f>C17+C18</f>
        <v>12962438.9</v>
      </c>
      <c r="D16" s="448">
        <f>D17+D18</f>
        <v>71172298.95</v>
      </c>
      <c r="E16" s="448">
        <f>E17+E18</f>
        <v>20394509.71</v>
      </c>
      <c r="F16" s="447">
        <f>SUM(D16,C16)</f>
        <v>84134737.85000001</v>
      </c>
      <c r="G16" s="435"/>
      <c r="I16" s="440"/>
    </row>
    <row r="17" spans="1:9" ht="18.75" customHeight="1">
      <c r="A17" s="444" t="s">
        <v>521</v>
      </c>
      <c r="B17" s="446" t="s">
        <v>520</v>
      </c>
      <c r="C17" s="445">
        <f>C12</f>
        <v>12962438.9</v>
      </c>
      <c r="D17" s="445">
        <f>D12</f>
        <v>71172298.95</v>
      </c>
      <c r="E17" s="445">
        <f>E12</f>
        <v>20394509.71</v>
      </c>
      <c r="F17" s="441">
        <f>SUM(D17,C17)</f>
        <v>84134737.85000001</v>
      </c>
      <c r="G17" s="435"/>
      <c r="I17" s="440"/>
    </row>
    <row r="18" spans="1:9" ht="99">
      <c r="A18" s="444" t="s">
        <v>519</v>
      </c>
      <c r="B18" s="443" t="s">
        <v>518</v>
      </c>
      <c r="C18" s="442">
        <f>C13</f>
        <v>0</v>
      </c>
      <c r="D18" s="442">
        <f>D13</f>
        <v>0</v>
      </c>
      <c r="E18" s="442">
        <f>E13</f>
        <v>0</v>
      </c>
      <c r="F18" s="441">
        <f>SUM(D18,C18)</f>
        <v>0</v>
      </c>
      <c r="G18" s="435"/>
      <c r="I18" s="440"/>
    </row>
    <row r="19" spans="1:7" ht="50.25" thickBot="1">
      <c r="A19" s="439"/>
      <c r="B19" s="438" t="s">
        <v>517</v>
      </c>
      <c r="C19" s="437">
        <f>C15</f>
        <v>12962438.9</v>
      </c>
      <c r="D19" s="437">
        <f>D15</f>
        <v>71172298.95</v>
      </c>
      <c r="E19" s="437">
        <f>E15</f>
        <v>20394509.71</v>
      </c>
      <c r="F19" s="436">
        <f>SUM(D19,C19)</f>
        <v>84134737.85000001</v>
      </c>
      <c r="G19" s="435"/>
    </row>
    <row r="20" ht="44.25" customHeight="1">
      <c r="A20" s="425"/>
    </row>
    <row r="21" spans="1:6" ht="39" customHeight="1">
      <c r="A21" s="425"/>
      <c r="C21" s="430"/>
      <c r="D21" s="430"/>
      <c r="E21" s="431"/>
      <c r="F21" s="430"/>
    </row>
    <row r="22" spans="1:8" ht="31.5" customHeight="1">
      <c r="A22" s="434" t="s">
        <v>122</v>
      </c>
      <c r="B22" s="434"/>
      <c r="C22" s="434"/>
      <c r="D22" s="434"/>
      <c r="E22" s="433" t="s">
        <v>70</v>
      </c>
      <c r="F22" s="433"/>
      <c r="G22" s="432"/>
      <c r="H22" s="432"/>
    </row>
    <row r="23" spans="1:6" ht="15.75">
      <c r="A23" s="425"/>
      <c r="C23" s="430"/>
      <c r="D23" s="430"/>
      <c r="E23" s="431"/>
      <c r="F23" s="430"/>
    </row>
    <row r="24" spans="1:3" ht="15">
      <c r="A24" s="425"/>
      <c r="B24" s="429"/>
      <c r="C24" s="427"/>
    </row>
    <row r="25" spans="1:3" ht="15">
      <c r="A25" s="425"/>
      <c r="B25" s="429"/>
      <c r="C25" s="427"/>
    </row>
    <row r="26" spans="1:3" ht="15">
      <c r="A26" s="425"/>
      <c r="B26" s="429"/>
      <c r="C26" s="427"/>
    </row>
    <row r="27" spans="1:3" ht="15">
      <c r="A27" s="425"/>
      <c r="B27" s="429"/>
      <c r="C27" s="427"/>
    </row>
    <row r="28" spans="1:3" ht="15">
      <c r="A28" s="425"/>
      <c r="B28" s="429"/>
      <c r="C28" s="427"/>
    </row>
    <row r="29" ht="12.75">
      <c r="A29" s="425"/>
    </row>
    <row r="30" spans="1:4" ht="12.75">
      <c r="A30" s="425"/>
      <c r="C30" s="427"/>
      <c r="D30" s="427"/>
    </row>
    <row r="31" spans="1:3" ht="12.75">
      <c r="A31" s="425"/>
      <c r="C31" s="428"/>
    </row>
    <row r="32" ht="12.75">
      <c r="A32" s="425"/>
    </row>
    <row r="33" spans="1:4" ht="12.75">
      <c r="A33" s="425"/>
      <c r="D33" s="427"/>
    </row>
    <row r="37" ht="12.75">
      <c r="C37" s="427"/>
    </row>
  </sheetData>
  <sheetProtection/>
  <mergeCells count="11">
    <mergeCell ref="B7:B8"/>
    <mergeCell ref="E22:F22"/>
    <mergeCell ref="D7:E7"/>
    <mergeCell ref="A22:D22"/>
    <mergeCell ref="D3:F3"/>
    <mergeCell ref="D1:F1"/>
    <mergeCell ref="D2:F2"/>
    <mergeCell ref="C7:C8"/>
    <mergeCell ref="A5:F5"/>
    <mergeCell ref="F7:F8"/>
    <mergeCell ref="A7:A8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portrait" paperSize="9" scale="7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14.625" style="368" customWidth="1"/>
    <col min="2" max="2" width="59.375" style="368" customWidth="1"/>
    <col min="3" max="3" width="47.25390625" style="368" customWidth="1"/>
    <col min="4" max="4" width="13.25390625" style="368" customWidth="1"/>
    <col min="5" max="6" width="12.375" style="368" customWidth="1"/>
    <col min="7" max="7" width="17.625" style="368" customWidth="1"/>
    <col min="8" max="8" width="14.375" style="368" bestFit="1" customWidth="1"/>
    <col min="9" max="9" width="11.625" style="368" bestFit="1" customWidth="1"/>
    <col min="10" max="16384" width="9.125" style="368" customWidth="1"/>
  </cols>
  <sheetData>
    <row r="1" spans="1:5" ht="15.75">
      <c r="A1" s="422"/>
      <c r="B1" s="422"/>
      <c r="C1" s="422"/>
      <c r="E1" s="368" t="s">
        <v>516</v>
      </c>
    </row>
    <row r="2" spans="1:5" ht="15.75">
      <c r="A2" s="422"/>
      <c r="B2" s="422"/>
      <c r="C2" s="422"/>
      <c r="E2" s="368" t="s">
        <v>515</v>
      </c>
    </row>
    <row r="3" spans="1:5" ht="14.25" customHeight="1">
      <c r="A3" s="421"/>
      <c r="B3" s="421"/>
      <c r="E3" s="368" t="s">
        <v>153</v>
      </c>
    </row>
    <row r="4" spans="1:7" ht="72.75" customHeight="1">
      <c r="A4" s="420" t="s">
        <v>514</v>
      </c>
      <c r="B4" s="420"/>
      <c r="C4" s="420"/>
      <c r="D4" s="420"/>
      <c r="E4" s="420"/>
      <c r="F4" s="420"/>
      <c r="G4" s="420"/>
    </row>
    <row r="5" ht="15.75">
      <c r="G5" s="368" t="s">
        <v>7</v>
      </c>
    </row>
    <row r="6" spans="1:7" ht="84.75" customHeight="1">
      <c r="A6" s="419" t="s">
        <v>8</v>
      </c>
      <c r="B6" s="418" t="s">
        <v>10</v>
      </c>
      <c r="C6" s="416" t="s">
        <v>513</v>
      </c>
      <c r="D6" s="417" t="s">
        <v>512</v>
      </c>
      <c r="E6" s="417" t="s">
        <v>511</v>
      </c>
      <c r="F6" s="417" t="s">
        <v>510</v>
      </c>
      <c r="G6" s="416" t="s">
        <v>509</v>
      </c>
    </row>
    <row r="7" spans="1:7" ht="84" customHeight="1">
      <c r="A7" s="419" t="s">
        <v>508</v>
      </c>
      <c r="B7" s="418" t="s">
        <v>11</v>
      </c>
      <c r="C7" s="416"/>
      <c r="D7" s="417"/>
      <c r="E7" s="417"/>
      <c r="F7" s="417"/>
      <c r="G7" s="416"/>
    </row>
    <row r="8" spans="1:9" ht="31.5">
      <c r="A8" s="383">
        <v>47</v>
      </c>
      <c r="B8" s="383" t="s">
        <v>32</v>
      </c>
      <c r="C8" s="382" t="s">
        <v>0</v>
      </c>
      <c r="D8" s="381"/>
      <c r="E8" s="381"/>
      <c r="F8" s="381"/>
      <c r="G8" s="380">
        <f>G9+G13+G28+G12</f>
        <v>12398674.459999999</v>
      </c>
      <c r="H8" s="408"/>
      <c r="I8" s="408"/>
    </row>
    <row r="9" spans="1:7" ht="78.75">
      <c r="A9" s="401">
        <v>150101</v>
      </c>
      <c r="B9" s="395" t="s">
        <v>489</v>
      </c>
      <c r="C9" s="387" t="s">
        <v>507</v>
      </c>
      <c r="D9" s="396"/>
      <c r="E9" s="396"/>
      <c r="F9" s="396"/>
      <c r="G9" s="404">
        <f>G10+G11</f>
        <v>6276522.93</v>
      </c>
    </row>
    <row r="10" spans="1:8" ht="102.75" customHeight="1">
      <c r="A10" s="401"/>
      <c r="B10" s="415"/>
      <c r="C10" s="412" t="s">
        <v>506</v>
      </c>
      <c r="D10" s="414"/>
      <c r="E10" s="414"/>
      <c r="F10" s="414"/>
      <c r="G10" s="411">
        <v>1508336</v>
      </c>
      <c r="H10" s="413"/>
    </row>
    <row r="11" spans="1:8" ht="100.5">
      <c r="A11" s="401"/>
      <c r="B11" s="401"/>
      <c r="C11" s="412" t="s">
        <v>505</v>
      </c>
      <c r="D11" s="396"/>
      <c r="E11" s="396"/>
      <c r="F11" s="396"/>
      <c r="G11" s="411">
        <v>4768186.93</v>
      </c>
      <c r="H11" s="408"/>
    </row>
    <row r="12" spans="1:8" ht="35.25" customHeight="1">
      <c r="A12" s="401">
        <v>150101</v>
      </c>
      <c r="B12" s="395" t="s">
        <v>489</v>
      </c>
      <c r="C12" s="387" t="s">
        <v>504</v>
      </c>
      <c r="D12" s="396"/>
      <c r="E12" s="396"/>
      <c r="F12" s="396"/>
      <c r="G12" s="405">
        <v>3112456.52</v>
      </c>
      <c r="H12" s="408"/>
    </row>
    <row r="13" spans="1:8" ht="31.5">
      <c r="A13" s="410"/>
      <c r="B13" s="410"/>
      <c r="C13" s="392" t="s">
        <v>503</v>
      </c>
      <c r="D13" s="389"/>
      <c r="E13" s="389"/>
      <c r="F13" s="389"/>
      <c r="G13" s="409">
        <f>SUM(G14:G27)</f>
        <v>2839695.01</v>
      </c>
      <c r="H13" s="408"/>
    </row>
    <row r="14" spans="1:7" ht="63">
      <c r="A14" s="401">
        <v>150101</v>
      </c>
      <c r="B14" s="401" t="s">
        <v>489</v>
      </c>
      <c r="C14" s="406" t="s">
        <v>502</v>
      </c>
      <c r="D14" s="389"/>
      <c r="E14" s="389"/>
      <c r="F14" s="389"/>
      <c r="G14" s="405">
        <v>210000</v>
      </c>
    </row>
    <row r="15" spans="1:7" ht="47.25">
      <c r="A15" s="401">
        <v>150101</v>
      </c>
      <c r="B15" s="401" t="s">
        <v>489</v>
      </c>
      <c r="C15" s="406" t="s">
        <v>501</v>
      </c>
      <c r="D15" s="389"/>
      <c r="E15" s="389"/>
      <c r="F15" s="389"/>
      <c r="G15" s="405">
        <v>92365.82</v>
      </c>
    </row>
    <row r="16" spans="1:7" ht="31.5">
      <c r="A16" s="401">
        <v>150101</v>
      </c>
      <c r="B16" s="401" t="s">
        <v>489</v>
      </c>
      <c r="C16" s="406" t="s">
        <v>500</v>
      </c>
      <c r="D16" s="389"/>
      <c r="E16" s="389"/>
      <c r="F16" s="389"/>
      <c r="G16" s="405">
        <v>80900.56</v>
      </c>
    </row>
    <row r="17" spans="1:7" ht="31.5">
      <c r="A17" s="401">
        <v>150101</v>
      </c>
      <c r="B17" s="401" t="s">
        <v>489</v>
      </c>
      <c r="C17" s="406" t="s">
        <v>499</v>
      </c>
      <c r="D17" s="389"/>
      <c r="E17" s="389"/>
      <c r="F17" s="389"/>
      <c r="G17" s="405">
        <v>127735</v>
      </c>
    </row>
    <row r="18" spans="1:7" ht="110.25">
      <c r="A18" s="401">
        <v>150101</v>
      </c>
      <c r="B18" s="401" t="s">
        <v>489</v>
      </c>
      <c r="C18" s="387" t="s">
        <v>498</v>
      </c>
      <c r="D18" s="389"/>
      <c r="E18" s="389"/>
      <c r="F18" s="389"/>
      <c r="G18" s="405">
        <v>5485.55</v>
      </c>
    </row>
    <row r="19" spans="1:7" ht="47.25">
      <c r="A19" s="401">
        <v>150101</v>
      </c>
      <c r="B19" s="401" t="s">
        <v>489</v>
      </c>
      <c r="C19" s="406" t="s">
        <v>497</v>
      </c>
      <c r="D19" s="389"/>
      <c r="E19" s="389"/>
      <c r="F19" s="389"/>
      <c r="G19" s="405">
        <v>42128</v>
      </c>
    </row>
    <row r="20" spans="1:7" ht="33">
      <c r="A20" s="401">
        <v>150101</v>
      </c>
      <c r="B20" s="401" t="s">
        <v>489</v>
      </c>
      <c r="C20" s="407" t="s">
        <v>496</v>
      </c>
      <c r="D20" s="389"/>
      <c r="E20" s="389"/>
      <c r="F20" s="389"/>
      <c r="G20" s="405">
        <v>3883.37</v>
      </c>
    </row>
    <row r="21" spans="1:7" ht="63">
      <c r="A21" s="401">
        <v>150101</v>
      </c>
      <c r="B21" s="401" t="s">
        <v>489</v>
      </c>
      <c r="C21" s="406" t="s">
        <v>495</v>
      </c>
      <c r="D21" s="389"/>
      <c r="E21" s="389"/>
      <c r="F21" s="389"/>
      <c r="G21" s="405">
        <v>129322</v>
      </c>
    </row>
    <row r="22" spans="1:7" ht="31.5">
      <c r="A22" s="401">
        <v>150101</v>
      </c>
      <c r="B22" s="401" t="s">
        <v>489</v>
      </c>
      <c r="C22" s="406" t="s">
        <v>494</v>
      </c>
      <c r="D22" s="389"/>
      <c r="E22" s="389"/>
      <c r="F22" s="389"/>
      <c r="G22" s="405">
        <v>8096</v>
      </c>
    </row>
    <row r="23" spans="1:7" ht="63">
      <c r="A23" s="401">
        <v>150101</v>
      </c>
      <c r="B23" s="401" t="s">
        <v>489</v>
      </c>
      <c r="C23" s="406" t="s">
        <v>493</v>
      </c>
      <c r="D23" s="389"/>
      <c r="E23" s="389"/>
      <c r="F23" s="389"/>
      <c r="G23" s="405">
        <v>293833</v>
      </c>
    </row>
    <row r="24" spans="1:7" ht="47.25">
      <c r="A24" s="401">
        <v>150101</v>
      </c>
      <c r="B24" s="401" t="s">
        <v>489</v>
      </c>
      <c r="C24" s="406" t="s">
        <v>492</v>
      </c>
      <c r="D24" s="389"/>
      <c r="E24" s="389"/>
      <c r="F24" s="389"/>
      <c r="G24" s="405">
        <v>567436</v>
      </c>
    </row>
    <row r="25" spans="1:7" ht="78.75">
      <c r="A25" s="401">
        <v>150101</v>
      </c>
      <c r="B25" s="401" t="s">
        <v>489</v>
      </c>
      <c r="C25" s="406" t="s">
        <v>491</v>
      </c>
      <c r="D25" s="389"/>
      <c r="E25" s="389"/>
      <c r="F25" s="389"/>
      <c r="G25" s="405">
        <v>10000</v>
      </c>
    </row>
    <row r="26" spans="1:7" ht="63">
      <c r="A26" s="401">
        <v>150101</v>
      </c>
      <c r="B26" s="401" t="s">
        <v>489</v>
      </c>
      <c r="C26" s="406" t="s">
        <v>490</v>
      </c>
      <c r="D26" s="389"/>
      <c r="E26" s="389"/>
      <c r="F26" s="389"/>
      <c r="G26" s="405">
        <v>1250510.6</v>
      </c>
    </row>
    <row r="27" spans="1:7" ht="78.75">
      <c r="A27" s="401">
        <v>150101</v>
      </c>
      <c r="B27" s="401" t="s">
        <v>489</v>
      </c>
      <c r="C27" s="401" t="s">
        <v>488</v>
      </c>
      <c r="D27" s="389"/>
      <c r="E27" s="389"/>
      <c r="F27" s="389"/>
      <c r="G27" s="405">
        <v>17999.11</v>
      </c>
    </row>
    <row r="28" spans="1:7" ht="63">
      <c r="A28" s="379" t="s">
        <v>21</v>
      </c>
      <c r="B28" s="387" t="s">
        <v>487</v>
      </c>
      <c r="C28" s="401"/>
      <c r="D28" s="389"/>
      <c r="E28" s="389"/>
      <c r="F28" s="389"/>
      <c r="G28" s="404">
        <v>170000</v>
      </c>
    </row>
    <row r="29" spans="1:7" ht="15.75">
      <c r="A29" s="384" t="s">
        <v>26</v>
      </c>
      <c r="B29" s="383" t="s">
        <v>27</v>
      </c>
      <c r="C29" s="382" t="s">
        <v>0</v>
      </c>
      <c r="D29" s="381"/>
      <c r="E29" s="381"/>
      <c r="F29" s="381"/>
      <c r="G29" s="380">
        <f>G30</f>
        <v>458980.44</v>
      </c>
    </row>
    <row r="30" spans="1:7" ht="47.25">
      <c r="A30" s="403">
        <v>180409</v>
      </c>
      <c r="B30" s="395" t="s">
        <v>17</v>
      </c>
      <c r="C30" s="395" t="s">
        <v>486</v>
      </c>
      <c r="D30" s="389"/>
      <c r="E30" s="389"/>
      <c r="F30" s="389"/>
      <c r="G30" s="394">
        <v>458980.44</v>
      </c>
    </row>
    <row r="31" spans="1:7" ht="15.75">
      <c r="A31" s="384" t="s">
        <v>57</v>
      </c>
      <c r="B31" s="383" t="s">
        <v>58</v>
      </c>
      <c r="C31" s="382" t="s">
        <v>0</v>
      </c>
      <c r="D31" s="381"/>
      <c r="E31" s="381"/>
      <c r="F31" s="381"/>
      <c r="G31" s="380">
        <f>G32</f>
        <v>2875</v>
      </c>
    </row>
    <row r="32" spans="1:7" ht="63">
      <c r="A32" s="403" t="s">
        <v>485</v>
      </c>
      <c r="B32" s="402" t="s">
        <v>484</v>
      </c>
      <c r="C32" s="401"/>
      <c r="D32" s="389"/>
      <c r="E32" s="389"/>
      <c r="F32" s="389"/>
      <c r="G32" s="394">
        <v>2875</v>
      </c>
    </row>
    <row r="33" spans="1:7" ht="15.75">
      <c r="A33" s="384" t="s">
        <v>12</v>
      </c>
      <c r="B33" s="383" t="s">
        <v>13</v>
      </c>
      <c r="C33" s="382" t="s">
        <v>0</v>
      </c>
      <c r="D33" s="381"/>
      <c r="E33" s="381"/>
      <c r="F33" s="381"/>
      <c r="G33" s="380">
        <f>SUM(G34:G44)</f>
        <v>4677250.13</v>
      </c>
    </row>
    <row r="34" spans="1:7" ht="31.5">
      <c r="A34" s="379" t="s">
        <v>483</v>
      </c>
      <c r="B34" s="91" t="s">
        <v>482</v>
      </c>
      <c r="C34" s="392"/>
      <c r="D34" s="389"/>
      <c r="E34" s="389"/>
      <c r="F34" s="389"/>
      <c r="G34" s="394">
        <v>213904.66</v>
      </c>
    </row>
    <row r="35" spans="1:7" ht="47.25">
      <c r="A35" s="379" t="s">
        <v>481</v>
      </c>
      <c r="B35" s="91" t="s">
        <v>480</v>
      </c>
      <c r="C35" s="392"/>
      <c r="D35" s="389"/>
      <c r="E35" s="389"/>
      <c r="F35" s="389"/>
      <c r="G35" s="394">
        <v>512660.26</v>
      </c>
    </row>
    <row r="36" spans="1:7" ht="78.75">
      <c r="A36" s="379" t="s">
        <v>479</v>
      </c>
      <c r="B36" s="91" t="s">
        <v>478</v>
      </c>
      <c r="C36" s="392"/>
      <c r="D36" s="389"/>
      <c r="E36" s="389"/>
      <c r="F36" s="389"/>
      <c r="G36" s="394">
        <v>28280</v>
      </c>
    </row>
    <row r="37" spans="1:7" ht="31.5">
      <c r="A37" s="379" t="s">
        <v>477</v>
      </c>
      <c r="B37" s="91" t="s">
        <v>476</v>
      </c>
      <c r="C37" s="392"/>
      <c r="D37" s="389"/>
      <c r="E37" s="389"/>
      <c r="F37" s="389"/>
      <c r="G37" s="394">
        <v>39036.5</v>
      </c>
    </row>
    <row r="38" spans="1:7" ht="16.5">
      <c r="A38" s="379" t="s">
        <v>475</v>
      </c>
      <c r="B38" s="91" t="s">
        <v>474</v>
      </c>
      <c r="C38" s="400"/>
      <c r="D38" s="400"/>
      <c r="E38" s="400"/>
      <c r="F38" s="400"/>
      <c r="G38" s="394">
        <v>3584046.55</v>
      </c>
    </row>
    <row r="39" spans="1:7" ht="16.5">
      <c r="A39" s="379" t="s">
        <v>473</v>
      </c>
      <c r="B39" s="91" t="s">
        <v>472</v>
      </c>
      <c r="C39" s="396"/>
      <c r="D39" s="396"/>
      <c r="E39" s="396"/>
      <c r="F39" s="396"/>
      <c r="G39" s="394">
        <v>23012</v>
      </c>
    </row>
    <row r="40" spans="1:7" ht="37.5" customHeight="1">
      <c r="A40" s="379" t="s">
        <v>471</v>
      </c>
      <c r="B40" s="91" t="s">
        <v>470</v>
      </c>
      <c r="C40" s="396"/>
      <c r="D40" s="396"/>
      <c r="E40" s="396"/>
      <c r="F40" s="396"/>
      <c r="G40" s="394">
        <v>7691.59</v>
      </c>
    </row>
    <row r="41" spans="1:7" ht="16.5">
      <c r="A41" s="379" t="s">
        <v>469</v>
      </c>
      <c r="B41" s="91" t="s">
        <v>468</v>
      </c>
      <c r="C41" s="396"/>
      <c r="D41" s="396"/>
      <c r="E41" s="396"/>
      <c r="F41" s="396"/>
      <c r="G41" s="394">
        <v>24668.57</v>
      </c>
    </row>
    <row r="42" spans="1:7" ht="16.5">
      <c r="A42" s="399" t="s">
        <v>467</v>
      </c>
      <c r="B42" s="398" t="s">
        <v>466</v>
      </c>
      <c r="C42" s="396"/>
      <c r="D42" s="396"/>
      <c r="E42" s="396"/>
      <c r="F42" s="396"/>
      <c r="G42" s="394">
        <v>12000</v>
      </c>
    </row>
    <row r="43" spans="1:7" ht="16.5">
      <c r="A43" s="379" t="s">
        <v>14</v>
      </c>
      <c r="B43" s="91" t="s">
        <v>15</v>
      </c>
      <c r="C43" s="396"/>
      <c r="D43" s="396"/>
      <c r="E43" s="396"/>
      <c r="F43" s="396"/>
      <c r="G43" s="394">
        <v>225550</v>
      </c>
    </row>
    <row r="44" spans="1:7" ht="31.5">
      <c r="A44" s="379" t="s">
        <v>465</v>
      </c>
      <c r="B44" s="91" t="s">
        <v>464</v>
      </c>
      <c r="C44" s="396"/>
      <c r="D44" s="396"/>
      <c r="E44" s="396"/>
      <c r="F44" s="396"/>
      <c r="G44" s="394">
        <v>6400</v>
      </c>
    </row>
    <row r="45" spans="1:7" ht="33" customHeight="1">
      <c r="A45" s="384" t="s">
        <v>71</v>
      </c>
      <c r="B45" s="383" t="s">
        <v>72</v>
      </c>
      <c r="C45" s="382" t="s">
        <v>0</v>
      </c>
      <c r="D45" s="381"/>
      <c r="E45" s="381"/>
      <c r="F45" s="381"/>
      <c r="G45" s="380">
        <f>G46+G47</f>
        <v>110046.20999999999</v>
      </c>
    </row>
    <row r="46" spans="1:7" ht="31.5">
      <c r="A46" s="379" t="s">
        <v>105</v>
      </c>
      <c r="B46" s="387" t="s">
        <v>463</v>
      </c>
      <c r="C46" s="396"/>
      <c r="D46" s="396"/>
      <c r="E46" s="396"/>
      <c r="F46" s="396"/>
      <c r="G46" s="390">
        <v>54346.21</v>
      </c>
    </row>
    <row r="47" spans="1:7" ht="31.5">
      <c r="A47" s="379" t="s">
        <v>462</v>
      </c>
      <c r="B47" s="397" t="s">
        <v>112</v>
      </c>
      <c r="C47" s="396"/>
      <c r="D47" s="396"/>
      <c r="E47" s="396"/>
      <c r="F47" s="396"/>
      <c r="G47" s="390">
        <v>55700</v>
      </c>
    </row>
    <row r="48" spans="1:7" ht="15.75">
      <c r="A48" s="384" t="s">
        <v>461</v>
      </c>
      <c r="B48" s="383" t="s">
        <v>460</v>
      </c>
      <c r="C48" s="382" t="s">
        <v>0</v>
      </c>
      <c r="D48" s="381"/>
      <c r="E48" s="381"/>
      <c r="F48" s="381"/>
      <c r="G48" s="380">
        <f>SUM(G49:G53)</f>
        <v>402176.52</v>
      </c>
    </row>
    <row r="49" spans="1:7" ht="19.5" customHeight="1">
      <c r="A49" s="379" t="s">
        <v>459</v>
      </c>
      <c r="B49" s="90" t="s">
        <v>458</v>
      </c>
      <c r="C49" s="392"/>
      <c r="D49" s="389"/>
      <c r="E49" s="389"/>
      <c r="F49" s="389"/>
      <c r="G49" s="377">
        <v>105533.5</v>
      </c>
    </row>
    <row r="50" spans="1:7" ht="66.75" customHeight="1">
      <c r="A50" s="379" t="s">
        <v>457</v>
      </c>
      <c r="B50" s="90" t="s">
        <v>456</v>
      </c>
      <c r="C50" s="396"/>
      <c r="D50" s="396"/>
      <c r="E50" s="396"/>
      <c r="F50" s="396"/>
      <c r="G50" s="391">
        <f>29600+159593.02</f>
        <v>189193.02</v>
      </c>
    </row>
    <row r="51" spans="1:7" ht="31.5">
      <c r="A51" s="379" t="s">
        <v>455</v>
      </c>
      <c r="B51" s="90" t="s">
        <v>454</v>
      </c>
      <c r="C51" s="392"/>
      <c r="D51" s="389"/>
      <c r="E51" s="389"/>
      <c r="F51" s="389"/>
      <c r="G51" s="390">
        <v>71500</v>
      </c>
    </row>
    <row r="52" spans="1:7" ht="16.5">
      <c r="A52" s="379" t="s">
        <v>453</v>
      </c>
      <c r="B52" s="90" t="s">
        <v>452</v>
      </c>
      <c r="C52" s="392"/>
      <c r="D52" s="389"/>
      <c r="E52" s="389"/>
      <c r="F52" s="389"/>
      <c r="G52" s="388">
        <v>30000</v>
      </c>
    </row>
    <row r="53" spans="1:7" ht="16.5">
      <c r="A53" s="379" t="s">
        <v>441</v>
      </c>
      <c r="B53" s="90" t="s">
        <v>451</v>
      </c>
      <c r="C53" s="392"/>
      <c r="D53" s="389"/>
      <c r="E53" s="389"/>
      <c r="F53" s="389"/>
      <c r="G53" s="390">
        <v>5950</v>
      </c>
    </row>
    <row r="54" spans="1:7" ht="31.5">
      <c r="A54" s="384" t="s">
        <v>65</v>
      </c>
      <c r="B54" s="383" t="s">
        <v>68</v>
      </c>
      <c r="C54" s="382" t="s">
        <v>0</v>
      </c>
      <c r="D54" s="381"/>
      <c r="E54" s="381"/>
      <c r="F54" s="381"/>
      <c r="G54" s="380">
        <f>SUM(G55:G58)</f>
        <v>297862.02</v>
      </c>
    </row>
    <row r="55" spans="1:7" ht="16.5" customHeight="1">
      <c r="A55" s="379" t="s">
        <v>450</v>
      </c>
      <c r="B55" s="90" t="s">
        <v>449</v>
      </c>
      <c r="C55" s="392"/>
      <c r="D55" s="389"/>
      <c r="E55" s="389"/>
      <c r="F55" s="389"/>
      <c r="G55" s="394">
        <v>4000</v>
      </c>
    </row>
    <row r="56" spans="1:7" ht="31.5">
      <c r="A56" s="379" t="s">
        <v>448</v>
      </c>
      <c r="B56" s="395" t="s">
        <v>447</v>
      </c>
      <c r="C56" s="392"/>
      <c r="D56" s="389"/>
      <c r="E56" s="389"/>
      <c r="F56" s="389"/>
      <c r="G56" s="394">
        <v>165028</v>
      </c>
    </row>
    <row r="57" spans="1:7" ht="31.5">
      <c r="A57" s="379" t="s">
        <v>446</v>
      </c>
      <c r="B57" s="393" t="s">
        <v>445</v>
      </c>
      <c r="C57" s="392"/>
      <c r="D57" s="389"/>
      <c r="E57" s="389"/>
      <c r="F57" s="389"/>
      <c r="G57" s="394">
        <v>39800</v>
      </c>
    </row>
    <row r="58" spans="1:7" ht="31.5">
      <c r="A58" s="379" t="s">
        <v>444</v>
      </c>
      <c r="B58" s="393" t="s">
        <v>443</v>
      </c>
      <c r="C58" s="392"/>
      <c r="D58" s="389"/>
      <c r="E58" s="389"/>
      <c r="F58" s="389"/>
      <c r="G58" s="391">
        <v>89034.02</v>
      </c>
    </row>
    <row r="59" spans="1:7" ht="15.75">
      <c r="A59" s="384" t="s">
        <v>24</v>
      </c>
      <c r="B59" s="383" t="s">
        <v>442</v>
      </c>
      <c r="C59" s="382" t="s">
        <v>0</v>
      </c>
      <c r="D59" s="381"/>
      <c r="E59" s="381"/>
      <c r="F59" s="381"/>
      <c r="G59" s="380">
        <f>G60</f>
        <v>42072.13</v>
      </c>
    </row>
    <row r="60" spans="1:7" ht="16.5">
      <c r="A60" s="379" t="s">
        <v>441</v>
      </c>
      <c r="B60" s="387" t="s">
        <v>440</v>
      </c>
      <c r="C60" s="378"/>
      <c r="D60" s="378"/>
      <c r="E60" s="378"/>
      <c r="F60" s="378"/>
      <c r="G60" s="390">
        <v>42072.13</v>
      </c>
    </row>
    <row r="61" spans="1:7" ht="47.25">
      <c r="A61" s="384" t="s">
        <v>19</v>
      </c>
      <c r="B61" s="383" t="s">
        <v>20</v>
      </c>
      <c r="C61" s="382" t="s">
        <v>0</v>
      </c>
      <c r="D61" s="381"/>
      <c r="E61" s="381"/>
      <c r="F61" s="381"/>
      <c r="G61" s="380">
        <f>G62+G63</f>
        <v>754714.8</v>
      </c>
    </row>
    <row r="62" spans="1:7" ht="47.25">
      <c r="A62" s="379">
        <v>180409</v>
      </c>
      <c r="B62" s="387" t="s">
        <v>17</v>
      </c>
      <c r="C62" s="40" t="s">
        <v>439</v>
      </c>
      <c r="D62" s="389"/>
      <c r="E62" s="389"/>
      <c r="F62" s="389"/>
      <c r="G62" s="388">
        <v>720000</v>
      </c>
    </row>
    <row r="63" spans="1:7" ht="47.25">
      <c r="A63" s="379" t="s">
        <v>21</v>
      </c>
      <c r="B63" s="387" t="s">
        <v>438</v>
      </c>
      <c r="C63" s="40"/>
      <c r="D63" s="389"/>
      <c r="E63" s="389"/>
      <c r="F63" s="389"/>
      <c r="G63" s="388">
        <v>34714.8</v>
      </c>
    </row>
    <row r="64" spans="1:7" ht="31.5">
      <c r="A64" s="384" t="s">
        <v>16</v>
      </c>
      <c r="B64" s="383" t="s">
        <v>437</v>
      </c>
      <c r="C64" s="382"/>
      <c r="D64" s="381"/>
      <c r="E64" s="381"/>
      <c r="F64" s="381"/>
      <c r="G64" s="380">
        <f>G65+G66</f>
        <v>653000</v>
      </c>
    </row>
    <row r="65" spans="1:7" ht="47.25">
      <c r="A65" s="379">
        <v>180409</v>
      </c>
      <c r="B65" s="387" t="s">
        <v>17</v>
      </c>
      <c r="C65" s="40" t="s">
        <v>436</v>
      </c>
      <c r="D65" s="378"/>
      <c r="E65" s="378"/>
      <c r="F65" s="378"/>
      <c r="G65" s="386">
        <v>283000</v>
      </c>
    </row>
    <row r="66" spans="1:7" ht="47.25">
      <c r="A66" s="379">
        <v>180409</v>
      </c>
      <c r="B66" s="387" t="s">
        <v>17</v>
      </c>
      <c r="C66" s="40" t="s">
        <v>435</v>
      </c>
      <c r="D66" s="378"/>
      <c r="E66" s="378"/>
      <c r="F66" s="378"/>
      <c r="G66" s="386">
        <v>370000</v>
      </c>
    </row>
    <row r="67" spans="1:7" ht="31.5">
      <c r="A67" s="384" t="s">
        <v>52</v>
      </c>
      <c r="B67" s="383" t="s">
        <v>53</v>
      </c>
      <c r="C67" s="382" t="s">
        <v>0</v>
      </c>
      <c r="D67" s="381"/>
      <c r="E67" s="381"/>
      <c r="F67" s="381"/>
      <c r="G67" s="380">
        <f>G68</f>
        <v>40000</v>
      </c>
    </row>
    <row r="68" spans="1:7" ht="31.5">
      <c r="A68" s="379" t="s">
        <v>54</v>
      </c>
      <c r="B68" s="40" t="s">
        <v>434</v>
      </c>
      <c r="C68" s="378"/>
      <c r="D68" s="378"/>
      <c r="E68" s="378"/>
      <c r="F68" s="378"/>
      <c r="G68" s="385">
        <v>40000</v>
      </c>
    </row>
    <row r="69" spans="1:7" ht="31.5">
      <c r="A69" s="384" t="s">
        <v>33</v>
      </c>
      <c r="B69" s="383" t="s">
        <v>34</v>
      </c>
      <c r="C69" s="382" t="s">
        <v>0</v>
      </c>
      <c r="D69" s="381"/>
      <c r="E69" s="381"/>
      <c r="F69" s="381"/>
      <c r="G69" s="380">
        <f>G70</f>
        <v>556858</v>
      </c>
    </row>
    <row r="70" spans="1:7" ht="78.75">
      <c r="A70" s="379" t="s">
        <v>21</v>
      </c>
      <c r="B70" s="40" t="s">
        <v>433</v>
      </c>
      <c r="C70" s="378"/>
      <c r="D70" s="378"/>
      <c r="E70" s="378"/>
      <c r="F70" s="378"/>
      <c r="G70" s="377">
        <f>490058+66800</f>
        <v>556858</v>
      </c>
    </row>
    <row r="71" spans="1:7" ht="18.75">
      <c r="A71" s="375"/>
      <c r="B71" s="376" t="s">
        <v>432</v>
      </c>
      <c r="C71" s="375"/>
      <c r="D71" s="375"/>
      <c r="E71" s="375"/>
      <c r="F71" s="374"/>
      <c r="G71" s="373">
        <f>G8+G29+G31+G33+G45+G48+G54+G59+G61+G64+G67+G69</f>
        <v>20394509.709999997</v>
      </c>
    </row>
    <row r="72" ht="41.25" customHeight="1"/>
    <row r="73" spans="1:7" ht="18.75" customHeight="1">
      <c r="A73" s="372" t="s">
        <v>122</v>
      </c>
      <c r="B73" s="372"/>
      <c r="C73" s="372"/>
      <c r="D73"/>
      <c r="E73" s="371"/>
      <c r="F73" s="370" t="s">
        <v>70</v>
      </c>
      <c r="G73" s="370"/>
    </row>
    <row r="76" ht="15.75">
      <c r="G76" s="369"/>
    </row>
  </sheetData>
  <sheetProtection/>
  <mergeCells count="8">
    <mergeCell ref="A4:G4"/>
    <mergeCell ref="G6:G7"/>
    <mergeCell ref="F73:G73"/>
    <mergeCell ref="A73:C73"/>
    <mergeCell ref="C6:C7"/>
    <mergeCell ref="D6:D7"/>
    <mergeCell ref="E6:E7"/>
    <mergeCell ref="F6:F7"/>
  </mergeCells>
  <printOptions/>
  <pageMargins left="0.8661417322834646" right="0.1968503937007874" top="0.3937007874015748" bottom="0.3937007874015748" header="0.31496062992125984" footer="0.35433070866141736"/>
  <pageSetup horizontalDpi="600" verticalDpi="600" orientation="landscape" paperSize="9" scale="75" r:id="rId1"/>
  <rowBreaks count="2" manualBreakCount="2">
    <brk id="13" max="6" man="1"/>
    <brk id="2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75" zoomScaleNormal="75" zoomScaleSheetLayoutView="75" zoomScalePageLayoutView="0" workbookViewId="0" topLeftCell="D1">
      <selection activeCell="A5" sqref="A5:G5"/>
    </sheetView>
  </sheetViews>
  <sheetFormatPr defaultColWidth="9.00390625" defaultRowHeight="12.75"/>
  <cols>
    <col min="1" max="1" width="22.00390625" style="1" customWidth="1"/>
    <col min="2" max="2" width="40.625" style="1" customWidth="1"/>
    <col min="3" max="3" width="95.375" style="1" customWidth="1"/>
    <col min="4" max="4" width="21.375" style="20" customWidth="1"/>
    <col min="5" max="5" width="70.625" style="1" customWidth="1"/>
    <col min="6" max="6" width="20.00390625" style="20" customWidth="1"/>
    <col min="7" max="7" width="18.625" style="20" customWidth="1"/>
    <col min="8" max="8" width="18.625" style="1" customWidth="1"/>
    <col min="9" max="16384" width="9.125" style="1" customWidth="1"/>
  </cols>
  <sheetData>
    <row r="1" spans="2:7" ht="30" customHeight="1">
      <c r="B1" s="24"/>
      <c r="C1" s="63"/>
      <c r="D1" s="63"/>
      <c r="E1" s="25"/>
      <c r="F1" s="30" t="s">
        <v>117</v>
      </c>
      <c r="G1" s="27"/>
    </row>
    <row r="2" spans="2:7" ht="15.75">
      <c r="B2" s="25"/>
      <c r="C2" s="25"/>
      <c r="D2" s="27"/>
      <c r="E2" s="25"/>
      <c r="F2" s="26" t="s">
        <v>6</v>
      </c>
      <c r="G2" s="27"/>
    </row>
    <row r="3" spans="2:7" ht="18" customHeight="1">
      <c r="B3" s="25"/>
      <c r="C3" s="25"/>
      <c r="D3" s="27"/>
      <c r="E3" s="25"/>
      <c r="F3" s="26" t="s">
        <v>119</v>
      </c>
      <c r="G3" s="27"/>
    </row>
    <row r="4" spans="2:7" ht="18" customHeight="1">
      <c r="B4" s="25"/>
      <c r="C4" s="25"/>
      <c r="D4" s="27"/>
      <c r="E4" s="25"/>
      <c r="F4" s="26"/>
      <c r="G4" s="27"/>
    </row>
    <row r="5" spans="1:7" ht="27" customHeight="1">
      <c r="A5" s="65" t="s">
        <v>73</v>
      </c>
      <c r="B5" s="65"/>
      <c r="C5" s="65"/>
      <c r="D5" s="65"/>
      <c r="E5" s="65"/>
      <c r="F5" s="65"/>
      <c r="G5" s="65"/>
    </row>
    <row r="6" spans="2:7" ht="15.75">
      <c r="B6" s="25"/>
      <c r="C6" s="25"/>
      <c r="D6" s="27"/>
      <c r="E6" s="25"/>
      <c r="F6" s="27"/>
      <c r="G6" s="26" t="s">
        <v>7</v>
      </c>
    </row>
    <row r="7" spans="1:7" ht="81.75" customHeight="1">
      <c r="A7" s="28" t="s">
        <v>8</v>
      </c>
      <c r="B7" s="38" t="s">
        <v>10</v>
      </c>
      <c r="C7" s="64" t="s">
        <v>1</v>
      </c>
      <c r="D7" s="64"/>
      <c r="E7" s="64" t="s">
        <v>4</v>
      </c>
      <c r="F7" s="64"/>
      <c r="G7" s="29" t="s">
        <v>5</v>
      </c>
    </row>
    <row r="8" spans="1:7" ht="87.75" customHeight="1">
      <c r="A8" s="28" t="s">
        <v>9</v>
      </c>
      <c r="B8" s="38" t="s">
        <v>11</v>
      </c>
      <c r="C8" s="38" t="s">
        <v>2</v>
      </c>
      <c r="D8" s="19" t="s">
        <v>3</v>
      </c>
      <c r="E8" s="38" t="s">
        <v>2</v>
      </c>
      <c r="F8" s="19" t="s">
        <v>3</v>
      </c>
      <c r="G8" s="19" t="s">
        <v>3</v>
      </c>
    </row>
    <row r="9" spans="1:8" ht="31.5" customHeight="1">
      <c r="A9" s="39" t="s">
        <v>26</v>
      </c>
      <c r="B9" s="10" t="s">
        <v>27</v>
      </c>
      <c r="C9" s="11"/>
      <c r="D9" s="17">
        <f>D10</f>
        <v>0</v>
      </c>
      <c r="E9" s="11"/>
      <c r="F9" s="17">
        <f>F10</f>
        <v>458980.44</v>
      </c>
      <c r="G9" s="17">
        <f>F9+D9</f>
        <v>458980.44</v>
      </c>
      <c r="H9" s="58"/>
    </row>
    <row r="10" spans="1:8" s="36" customFormat="1" ht="96.75" customHeight="1">
      <c r="A10" s="32">
        <v>180409</v>
      </c>
      <c r="B10" s="33" t="s">
        <v>17</v>
      </c>
      <c r="C10" s="40"/>
      <c r="D10" s="37"/>
      <c r="E10" s="13" t="s">
        <v>18</v>
      </c>
      <c r="F10" s="16">
        <v>458980.44</v>
      </c>
      <c r="G10" s="18">
        <f aca="true" t="shared" si="0" ref="G10:G16">D10+F10</f>
        <v>458980.44</v>
      </c>
      <c r="H10" s="35"/>
    </row>
    <row r="11" spans="1:8" s="36" customFormat="1" ht="39.75" customHeight="1">
      <c r="A11" s="9" t="s">
        <v>57</v>
      </c>
      <c r="B11" s="10" t="s">
        <v>58</v>
      </c>
      <c r="C11" s="11" t="s">
        <v>0</v>
      </c>
      <c r="D11" s="17">
        <f>D12</f>
        <v>10270</v>
      </c>
      <c r="E11" s="11" t="s">
        <v>0</v>
      </c>
      <c r="F11" s="17">
        <f>F12</f>
        <v>2875</v>
      </c>
      <c r="G11" s="17">
        <f t="shared" si="0"/>
        <v>13145</v>
      </c>
      <c r="H11" s="35"/>
    </row>
    <row r="12" spans="1:8" s="36" customFormat="1" ht="76.5" customHeight="1">
      <c r="A12" s="43" t="s">
        <v>66</v>
      </c>
      <c r="B12" s="13" t="s">
        <v>67</v>
      </c>
      <c r="C12" s="45" t="s">
        <v>84</v>
      </c>
      <c r="D12" s="37">
        <v>10270</v>
      </c>
      <c r="E12" s="45" t="s">
        <v>84</v>
      </c>
      <c r="F12" s="16">
        <v>2875</v>
      </c>
      <c r="G12" s="18">
        <f t="shared" si="0"/>
        <v>13145</v>
      </c>
      <c r="H12" s="35"/>
    </row>
    <row r="13" spans="1:8" s="36" customFormat="1" ht="61.5" customHeight="1">
      <c r="A13" s="51" t="s">
        <v>44</v>
      </c>
      <c r="B13" s="10" t="s">
        <v>61</v>
      </c>
      <c r="C13" s="11" t="s">
        <v>0</v>
      </c>
      <c r="D13" s="17">
        <f>D14</f>
        <v>300000</v>
      </c>
      <c r="E13" s="11" t="s">
        <v>0</v>
      </c>
      <c r="F13" s="17">
        <f>F14</f>
        <v>0</v>
      </c>
      <c r="G13" s="17">
        <f t="shared" si="0"/>
        <v>300000</v>
      </c>
      <c r="H13" s="35"/>
    </row>
    <row r="14" spans="1:8" s="36" customFormat="1" ht="48" customHeight="1">
      <c r="A14" s="43" t="s">
        <v>45</v>
      </c>
      <c r="B14" s="45" t="s">
        <v>46</v>
      </c>
      <c r="C14" s="45" t="s">
        <v>47</v>
      </c>
      <c r="D14" s="21">
        <v>300000</v>
      </c>
      <c r="E14" s="52"/>
      <c r="F14" s="53"/>
      <c r="G14" s="18">
        <f t="shared" si="0"/>
        <v>300000</v>
      </c>
      <c r="H14" s="35"/>
    </row>
    <row r="15" spans="1:7" ht="73.5" customHeight="1">
      <c r="A15" s="51" t="s">
        <v>42</v>
      </c>
      <c r="B15" s="10" t="s">
        <v>59</v>
      </c>
      <c r="C15" s="11" t="s">
        <v>0</v>
      </c>
      <c r="D15" s="17">
        <f>D16</f>
        <v>9345.24</v>
      </c>
      <c r="E15" s="11" t="s">
        <v>0</v>
      </c>
      <c r="F15" s="17">
        <f>F16</f>
        <v>0</v>
      </c>
      <c r="G15" s="17">
        <f t="shared" si="0"/>
        <v>9345.24</v>
      </c>
    </row>
    <row r="16" spans="1:8" s="36" customFormat="1" ht="45.75" customHeight="1">
      <c r="A16" s="43" t="s">
        <v>39</v>
      </c>
      <c r="B16" s="45" t="s">
        <v>40</v>
      </c>
      <c r="C16" s="12" t="s">
        <v>43</v>
      </c>
      <c r="D16" s="37">
        <v>9345.24</v>
      </c>
      <c r="E16" s="13"/>
      <c r="F16" s="16"/>
      <c r="G16" s="18">
        <f t="shared" si="0"/>
        <v>9345.24</v>
      </c>
      <c r="H16" s="35"/>
    </row>
    <row r="17" spans="1:8" s="34" customFormat="1" ht="39.75" customHeight="1">
      <c r="A17" s="39" t="s">
        <v>12</v>
      </c>
      <c r="B17" s="10" t="s">
        <v>13</v>
      </c>
      <c r="C17" s="11" t="s">
        <v>0</v>
      </c>
      <c r="D17" s="17">
        <f>D18+D19+D20+D21+D22+D23+D24+D25+D26</f>
        <v>49523.64</v>
      </c>
      <c r="E17" s="11" t="s">
        <v>0</v>
      </c>
      <c r="F17" s="17">
        <f>F18+F19+F20+F21+F22+F23+F24+F25+F26</f>
        <v>225550</v>
      </c>
      <c r="G17" s="17">
        <f aca="true" t="shared" si="1" ref="G17:G51">D17+F17</f>
        <v>275073.64</v>
      </c>
      <c r="H17" s="35"/>
    </row>
    <row r="18" spans="1:8" s="34" customFormat="1" ht="36.75" customHeight="1">
      <c r="A18" s="15" t="s">
        <v>14</v>
      </c>
      <c r="B18" s="12" t="s">
        <v>15</v>
      </c>
      <c r="C18" s="12" t="s">
        <v>118</v>
      </c>
      <c r="D18" s="21">
        <v>4492.54</v>
      </c>
      <c r="E18" s="33"/>
      <c r="F18" s="21"/>
      <c r="G18" s="18">
        <f t="shared" si="1"/>
        <v>4492.54</v>
      </c>
      <c r="H18" s="35"/>
    </row>
    <row r="19" spans="1:8" s="34" customFormat="1" ht="60" customHeight="1">
      <c r="A19" s="15" t="s">
        <v>14</v>
      </c>
      <c r="B19" s="12" t="s">
        <v>15</v>
      </c>
      <c r="C19" s="12"/>
      <c r="D19" s="21"/>
      <c r="E19" s="12" t="s">
        <v>64</v>
      </c>
      <c r="F19" s="21">
        <v>10400</v>
      </c>
      <c r="G19" s="18">
        <f t="shared" si="1"/>
        <v>10400</v>
      </c>
      <c r="H19" s="35"/>
    </row>
    <row r="20" spans="1:8" s="34" customFormat="1" ht="36.75" customHeight="1">
      <c r="A20" s="15" t="s">
        <v>14</v>
      </c>
      <c r="B20" s="12" t="s">
        <v>15</v>
      </c>
      <c r="C20" s="12" t="s">
        <v>85</v>
      </c>
      <c r="D20" s="21">
        <v>12368.09</v>
      </c>
      <c r="E20" s="12" t="s">
        <v>85</v>
      </c>
      <c r="F20" s="21">
        <v>158860</v>
      </c>
      <c r="G20" s="18">
        <f t="shared" si="1"/>
        <v>171228.09</v>
      </c>
      <c r="H20" s="35"/>
    </row>
    <row r="21" spans="1:8" s="34" customFormat="1" ht="36.75" customHeight="1">
      <c r="A21" s="15" t="s">
        <v>14</v>
      </c>
      <c r="B21" s="12" t="s">
        <v>15</v>
      </c>
      <c r="C21" s="12" t="s">
        <v>86</v>
      </c>
      <c r="D21" s="21">
        <v>5797.01</v>
      </c>
      <c r="E21" s="12" t="s">
        <v>86</v>
      </c>
      <c r="F21" s="21">
        <v>15000</v>
      </c>
      <c r="G21" s="18">
        <f t="shared" si="1"/>
        <v>20797.010000000002</v>
      </c>
      <c r="H21" s="35"/>
    </row>
    <row r="22" spans="1:8" s="34" customFormat="1" ht="36.75" customHeight="1">
      <c r="A22" s="15" t="s">
        <v>14</v>
      </c>
      <c r="B22" s="12" t="s">
        <v>15</v>
      </c>
      <c r="C22" s="12"/>
      <c r="D22" s="21"/>
      <c r="E22" s="12" t="s">
        <v>87</v>
      </c>
      <c r="F22" s="21">
        <v>16290</v>
      </c>
      <c r="G22" s="18">
        <f t="shared" si="1"/>
        <v>16290</v>
      </c>
      <c r="H22" s="35"/>
    </row>
    <row r="23" spans="1:8" s="34" customFormat="1" ht="36.75" customHeight="1">
      <c r="A23" s="15" t="s">
        <v>14</v>
      </c>
      <c r="B23" s="12" t="s">
        <v>15</v>
      </c>
      <c r="C23" s="12" t="s">
        <v>88</v>
      </c>
      <c r="D23" s="21">
        <v>10000</v>
      </c>
      <c r="E23" s="33"/>
      <c r="F23" s="21"/>
      <c r="G23" s="18">
        <f t="shared" si="1"/>
        <v>10000</v>
      </c>
      <c r="H23" s="35"/>
    </row>
    <row r="24" spans="1:8" s="34" customFormat="1" ht="36.75" customHeight="1">
      <c r="A24" s="15" t="s">
        <v>14</v>
      </c>
      <c r="B24" s="12" t="s">
        <v>15</v>
      </c>
      <c r="C24" s="12"/>
      <c r="D24" s="21"/>
      <c r="E24" s="12" t="s">
        <v>89</v>
      </c>
      <c r="F24" s="21">
        <v>25000</v>
      </c>
      <c r="G24" s="18">
        <f t="shared" si="1"/>
        <v>25000</v>
      </c>
      <c r="H24" s="35"/>
    </row>
    <row r="25" spans="1:8" s="34" customFormat="1" ht="36.75" customHeight="1">
      <c r="A25" s="15" t="s">
        <v>14</v>
      </c>
      <c r="B25" s="12" t="s">
        <v>15</v>
      </c>
      <c r="C25" s="12" t="s">
        <v>90</v>
      </c>
      <c r="D25" s="21">
        <v>6886</v>
      </c>
      <c r="E25" s="33"/>
      <c r="F25" s="21"/>
      <c r="G25" s="18">
        <f t="shared" si="1"/>
        <v>6886</v>
      </c>
      <c r="H25" s="35"/>
    </row>
    <row r="26" spans="1:8" s="34" customFormat="1" ht="36.75" customHeight="1">
      <c r="A26" s="15" t="s">
        <v>14</v>
      </c>
      <c r="B26" s="12" t="s">
        <v>15</v>
      </c>
      <c r="C26" s="12" t="s">
        <v>92</v>
      </c>
      <c r="D26" s="21">
        <v>9980</v>
      </c>
      <c r="E26" s="33"/>
      <c r="F26" s="21"/>
      <c r="G26" s="18">
        <f t="shared" si="1"/>
        <v>9980</v>
      </c>
      <c r="H26" s="35"/>
    </row>
    <row r="27" spans="1:8" s="34" customFormat="1" ht="40.5" customHeight="1">
      <c r="A27" s="39" t="s">
        <v>71</v>
      </c>
      <c r="B27" s="10" t="s">
        <v>72</v>
      </c>
      <c r="C27" s="11" t="s">
        <v>0</v>
      </c>
      <c r="D27" s="17">
        <f>D28+D38+D31</f>
        <v>2160457.63</v>
      </c>
      <c r="E27" s="11" t="s">
        <v>0</v>
      </c>
      <c r="F27" s="17">
        <f>F28+F38+F31</f>
        <v>242354.46</v>
      </c>
      <c r="G27" s="17">
        <f>D27+F27</f>
        <v>2402812.09</v>
      </c>
      <c r="H27" s="35"/>
    </row>
    <row r="28" spans="1:8" s="34" customFormat="1" ht="25.5" customHeight="1">
      <c r="A28" s="49"/>
      <c r="B28" s="50"/>
      <c r="C28" s="56" t="s">
        <v>93</v>
      </c>
      <c r="D28" s="21">
        <f>D29+D30</f>
        <v>321764.78</v>
      </c>
      <c r="E28" s="33"/>
      <c r="F28" s="21"/>
      <c r="G28" s="18">
        <f t="shared" si="1"/>
        <v>321764.78</v>
      </c>
      <c r="H28" s="35"/>
    </row>
    <row r="29" spans="1:8" s="34" customFormat="1" ht="54.75" customHeight="1">
      <c r="A29" s="49" t="s">
        <v>97</v>
      </c>
      <c r="B29" s="50" t="s">
        <v>98</v>
      </c>
      <c r="C29" s="56" t="s">
        <v>96</v>
      </c>
      <c r="D29" s="21">
        <v>306764.78</v>
      </c>
      <c r="E29" s="33"/>
      <c r="F29" s="21"/>
      <c r="G29" s="18">
        <f t="shared" si="1"/>
        <v>306764.78</v>
      </c>
      <c r="H29" s="35"/>
    </row>
    <row r="30" spans="1:8" s="34" customFormat="1" ht="27.75" customHeight="1">
      <c r="A30" s="49" t="s">
        <v>99</v>
      </c>
      <c r="B30" s="50" t="s">
        <v>100</v>
      </c>
      <c r="C30" s="56" t="s">
        <v>96</v>
      </c>
      <c r="D30" s="21">
        <v>15000</v>
      </c>
      <c r="E30" s="33"/>
      <c r="F30" s="21"/>
      <c r="G30" s="18">
        <f t="shared" si="1"/>
        <v>15000</v>
      </c>
      <c r="H30" s="35"/>
    </row>
    <row r="31" spans="1:8" s="34" customFormat="1" ht="40.5" customHeight="1">
      <c r="A31" s="49"/>
      <c r="B31" s="50"/>
      <c r="C31" s="15" t="s">
        <v>115</v>
      </c>
      <c r="D31" s="21">
        <f>D32+D33+D34+D35+D36+D37</f>
        <v>1838692.8499999999</v>
      </c>
      <c r="E31" s="15" t="s">
        <v>116</v>
      </c>
      <c r="F31" s="21">
        <f>F32+F33+F34+F35+F36+F37</f>
        <v>110046.20999999999</v>
      </c>
      <c r="G31" s="18">
        <f t="shared" si="1"/>
        <v>1948739.0599999998</v>
      </c>
      <c r="H31" s="35"/>
    </row>
    <row r="32" spans="1:8" s="34" customFormat="1" ht="39.75" customHeight="1">
      <c r="A32" s="15" t="s">
        <v>102</v>
      </c>
      <c r="B32" s="12" t="s">
        <v>103</v>
      </c>
      <c r="C32" s="62" t="s">
        <v>104</v>
      </c>
      <c r="D32" s="21">
        <v>507708.72</v>
      </c>
      <c r="E32" s="33"/>
      <c r="F32" s="21"/>
      <c r="G32" s="18">
        <f t="shared" si="1"/>
        <v>507708.72</v>
      </c>
      <c r="H32" s="35"/>
    </row>
    <row r="33" spans="1:8" s="34" customFormat="1" ht="57" customHeight="1">
      <c r="A33" s="15" t="s">
        <v>105</v>
      </c>
      <c r="B33" s="12" t="s">
        <v>106</v>
      </c>
      <c r="C33" s="62" t="s">
        <v>104</v>
      </c>
      <c r="D33" s="21">
        <v>139131.86</v>
      </c>
      <c r="E33" s="62" t="s">
        <v>104</v>
      </c>
      <c r="F33" s="21">
        <v>54346.21</v>
      </c>
      <c r="G33" s="18">
        <f t="shared" si="1"/>
        <v>193478.06999999998</v>
      </c>
      <c r="H33" s="35"/>
    </row>
    <row r="34" spans="1:8" s="34" customFormat="1" ht="58.5" customHeight="1">
      <c r="A34" s="15" t="s">
        <v>107</v>
      </c>
      <c r="B34" s="12" t="s">
        <v>108</v>
      </c>
      <c r="C34" s="62" t="s">
        <v>104</v>
      </c>
      <c r="D34" s="21">
        <v>493393.28</v>
      </c>
      <c r="E34" s="33"/>
      <c r="F34" s="21"/>
      <c r="G34" s="18">
        <f t="shared" si="1"/>
        <v>493393.28</v>
      </c>
      <c r="H34" s="35"/>
    </row>
    <row r="35" spans="1:8" s="34" customFormat="1" ht="77.25" customHeight="1">
      <c r="A35" s="15" t="s">
        <v>109</v>
      </c>
      <c r="B35" s="12" t="s">
        <v>110</v>
      </c>
      <c r="C35" s="62" t="s">
        <v>104</v>
      </c>
      <c r="D35" s="21">
        <v>72175.47</v>
      </c>
      <c r="E35" s="33"/>
      <c r="F35" s="21"/>
      <c r="G35" s="18">
        <f t="shared" si="1"/>
        <v>72175.47</v>
      </c>
      <c r="H35" s="35"/>
    </row>
    <row r="36" spans="1:8" s="34" customFormat="1" ht="77.25" customHeight="1">
      <c r="A36" s="15" t="s">
        <v>111</v>
      </c>
      <c r="B36" s="12" t="s">
        <v>112</v>
      </c>
      <c r="C36" s="62" t="s">
        <v>104</v>
      </c>
      <c r="D36" s="21">
        <v>589451.21</v>
      </c>
      <c r="E36" s="62" t="s">
        <v>104</v>
      </c>
      <c r="F36" s="21">
        <v>55700</v>
      </c>
      <c r="G36" s="18">
        <f t="shared" si="1"/>
        <v>645151.21</v>
      </c>
      <c r="H36" s="35"/>
    </row>
    <row r="37" spans="1:8" s="34" customFormat="1" ht="39" customHeight="1">
      <c r="A37" s="15" t="s">
        <v>113</v>
      </c>
      <c r="B37" s="12" t="s">
        <v>114</v>
      </c>
      <c r="C37" s="62" t="s">
        <v>104</v>
      </c>
      <c r="D37" s="21">
        <v>36832.31</v>
      </c>
      <c r="E37" s="33"/>
      <c r="F37" s="21"/>
      <c r="G37" s="18">
        <f t="shared" si="1"/>
        <v>36832.31</v>
      </c>
      <c r="H37" s="35"/>
    </row>
    <row r="38" spans="1:8" s="34" customFormat="1" ht="94.5" customHeight="1">
      <c r="A38" s="49">
        <v>250908</v>
      </c>
      <c r="B38" s="50" t="s">
        <v>74</v>
      </c>
      <c r="C38" s="49"/>
      <c r="D38" s="59"/>
      <c r="E38" s="12" t="s">
        <v>75</v>
      </c>
      <c r="F38" s="21">
        <f>115504.11+16804.14</f>
        <v>132308.25</v>
      </c>
      <c r="G38" s="18">
        <f t="shared" si="1"/>
        <v>132308.25</v>
      </c>
      <c r="H38" s="35"/>
    </row>
    <row r="39" spans="1:8" s="34" customFormat="1" ht="57.75" customHeight="1">
      <c r="A39" s="9" t="s">
        <v>65</v>
      </c>
      <c r="B39" s="10" t="s">
        <v>68</v>
      </c>
      <c r="C39" s="11" t="s">
        <v>0</v>
      </c>
      <c r="D39" s="17">
        <f>D42+D40+D41</f>
        <v>57377.39</v>
      </c>
      <c r="E39" s="11" t="s">
        <v>0</v>
      </c>
      <c r="F39" s="17">
        <f>F42+F40+F41</f>
        <v>0</v>
      </c>
      <c r="G39" s="17">
        <f t="shared" si="1"/>
        <v>57377.39</v>
      </c>
      <c r="H39" s="35"/>
    </row>
    <row r="40" spans="1:8" s="34" customFormat="1" ht="57.75" customHeight="1">
      <c r="A40" s="49" t="s">
        <v>94</v>
      </c>
      <c r="B40" s="50" t="s">
        <v>95</v>
      </c>
      <c r="C40" s="56" t="s">
        <v>96</v>
      </c>
      <c r="D40" s="21">
        <v>19373.22</v>
      </c>
      <c r="E40" s="33"/>
      <c r="F40" s="21"/>
      <c r="G40" s="18">
        <f>D40+F40</f>
        <v>19373.22</v>
      </c>
      <c r="H40" s="35"/>
    </row>
    <row r="41" spans="1:8" s="34" customFormat="1" ht="57.75" customHeight="1">
      <c r="A41" s="49" t="s">
        <v>94</v>
      </c>
      <c r="B41" s="50" t="s">
        <v>95</v>
      </c>
      <c r="C41" s="56" t="s">
        <v>101</v>
      </c>
      <c r="D41" s="21">
        <v>3215</v>
      </c>
      <c r="E41" s="33"/>
      <c r="F41" s="21"/>
      <c r="G41" s="18">
        <f>D41+F41</f>
        <v>3215</v>
      </c>
      <c r="H41" s="35"/>
    </row>
    <row r="42" spans="1:8" s="34" customFormat="1" ht="36.75" customHeight="1">
      <c r="A42" s="57" t="s">
        <v>66</v>
      </c>
      <c r="B42" s="13" t="s">
        <v>67</v>
      </c>
      <c r="C42" s="13" t="s">
        <v>91</v>
      </c>
      <c r="D42" s="21">
        <v>34789.17</v>
      </c>
      <c r="E42" s="33"/>
      <c r="F42" s="21"/>
      <c r="G42" s="18">
        <f t="shared" si="1"/>
        <v>34789.17</v>
      </c>
      <c r="H42" s="35"/>
    </row>
    <row r="43" spans="1:8" s="34" customFormat="1" ht="36.75" customHeight="1">
      <c r="A43" s="39" t="s">
        <v>24</v>
      </c>
      <c r="B43" s="10" t="s">
        <v>25</v>
      </c>
      <c r="C43" s="11" t="s">
        <v>0</v>
      </c>
      <c r="D43" s="17">
        <f>D44</f>
        <v>80424.6</v>
      </c>
      <c r="E43" s="11" t="s">
        <v>0</v>
      </c>
      <c r="F43" s="17">
        <f>F44</f>
        <v>0</v>
      </c>
      <c r="G43" s="17">
        <f>D43+F43</f>
        <v>80424.6</v>
      </c>
      <c r="H43" s="35"/>
    </row>
    <row r="44" spans="1:8" s="34" customFormat="1" ht="32.25" customHeight="1">
      <c r="A44" s="49" t="s">
        <v>60</v>
      </c>
      <c r="B44" s="50" t="s">
        <v>62</v>
      </c>
      <c r="C44" s="56" t="s">
        <v>63</v>
      </c>
      <c r="D44" s="21">
        <v>80424.6</v>
      </c>
      <c r="E44" s="33"/>
      <c r="F44" s="21"/>
      <c r="G44" s="18">
        <f t="shared" si="1"/>
        <v>80424.6</v>
      </c>
      <c r="H44" s="35"/>
    </row>
    <row r="45" spans="1:8" s="34" customFormat="1" ht="93.75">
      <c r="A45" s="39" t="s">
        <v>19</v>
      </c>
      <c r="B45" s="10" t="s">
        <v>20</v>
      </c>
      <c r="C45" s="11" t="s">
        <v>0</v>
      </c>
      <c r="D45" s="17">
        <f>D46+D47</f>
        <v>0</v>
      </c>
      <c r="E45" s="11" t="s">
        <v>0</v>
      </c>
      <c r="F45" s="17">
        <f>F46+F47</f>
        <v>754714.8</v>
      </c>
      <c r="G45" s="17">
        <f>D45+F45</f>
        <v>754714.8</v>
      </c>
      <c r="H45" s="35"/>
    </row>
    <row r="46" spans="1:8" s="34" customFormat="1" ht="38.25" customHeight="1">
      <c r="A46" s="32" t="s">
        <v>21</v>
      </c>
      <c r="B46" s="33" t="s">
        <v>22</v>
      </c>
      <c r="C46" s="33"/>
      <c r="D46" s="37"/>
      <c r="E46" s="33" t="s">
        <v>83</v>
      </c>
      <c r="F46" s="16">
        <v>720000</v>
      </c>
      <c r="G46" s="18">
        <f>D46+F46</f>
        <v>720000</v>
      </c>
      <c r="H46" s="35"/>
    </row>
    <row r="47" spans="1:8" s="34" customFormat="1" ht="44.25" customHeight="1">
      <c r="A47" s="43" t="s">
        <v>21</v>
      </c>
      <c r="B47" s="45" t="s">
        <v>29</v>
      </c>
      <c r="C47" s="46"/>
      <c r="D47" s="21"/>
      <c r="E47" s="44" t="s">
        <v>30</v>
      </c>
      <c r="F47" s="16">
        <v>34714.8</v>
      </c>
      <c r="G47" s="18">
        <f>D47+F47</f>
        <v>34714.8</v>
      </c>
      <c r="H47" s="35"/>
    </row>
    <row r="48" spans="1:8" s="34" customFormat="1" ht="60" customHeight="1">
      <c r="A48" s="47" t="s">
        <v>31</v>
      </c>
      <c r="B48" s="48" t="s">
        <v>32</v>
      </c>
      <c r="C48" s="11" t="s">
        <v>0</v>
      </c>
      <c r="D48" s="17">
        <f>D49</f>
        <v>61845.61</v>
      </c>
      <c r="E48" s="11" t="s">
        <v>0</v>
      </c>
      <c r="F48" s="17">
        <f>F49</f>
        <v>0</v>
      </c>
      <c r="G48" s="17">
        <f>D48+F48</f>
        <v>61845.61</v>
      </c>
      <c r="H48" s="35"/>
    </row>
    <row r="49" spans="1:8" s="34" customFormat="1" ht="38.25" customHeight="1">
      <c r="A49" s="43" t="s">
        <v>21</v>
      </c>
      <c r="B49" s="33" t="s">
        <v>22</v>
      </c>
      <c r="C49" s="44" t="s">
        <v>28</v>
      </c>
      <c r="D49" s="21">
        <v>61845.61</v>
      </c>
      <c r="E49" s="44"/>
      <c r="F49" s="16"/>
      <c r="G49" s="18">
        <f>D49+F49</f>
        <v>61845.61</v>
      </c>
      <c r="H49" s="35"/>
    </row>
    <row r="50" spans="1:8" s="36" customFormat="1" ht="56.25">
      <c r="A50" s="9" t="s">
        <v>16</v>
      </c>
      <c r="B50" s="10" t="s">
        <v>23</v>
      </c>
      <c r="C50" s="11" t="s">
        <v>0</v>
      </c>
      <c r="D50" s="17">
        <f>D51</f>
        <v>0</v>
      </c>
      <c r="E50" s="11" t="s">
        <v>0</v>
      </c>
      <c r="F50" s="17">
        <f>F51</f>
        <v>653000</v>
      </c>
      <c r="G50" s="17">
        <f t="shared" si="1"/>
        <v>653000</v>
      </c>
      <c r="H50" s="35"/>
    </row>
    <row r="51" spans="1:8" s="36" customFormat="1" ht="93.75" customHeight="1">
      <c r="A51" s="32">
        <v>180409</v>
      </c>
      <c r="B51" s="33" t="s">
        <v>17</v>
      </c>
      <c r="C51" s="40"/>
      <c r="D51" s="37"/>
      <c r="E51" s="13" t="s">
        <v>18</v>
      </c>
      <c r="F51" s="16">
        <f>283000+370000</f>
        <v>653000</v>
      </c>
      <c r="G51" s="18">
        <f t="shared" si="1"/>
        <v>653000</v>
      </c>
      <c r="H51" s="35"/>
    </row>
    <row r="52" spans="1:8" s="36" customFormat="1" ht="45.75" customHeight="1">
      <c r="A52" s="9" t="s">
        <v>48</v>
      </c>
      <c r="B52" s="10" t="s">
        <v>51</v>
      </c>
      <c r="C52" s="11" t="s">
        <v>0</v>
      </c>
      <c r="D52" s="17">
        <f>D53+D54+D55</f>
        <v>470750</v>
      </c>
      <c r="E52" s="11" t="s">
        <v>0</v>
      </c>
      <c r="F52" s="17">
        <f>F53+F54+F55</f>
        <v>549000</v>
      </c>
      <c r="G52" s="17">
        <f>D52+F52</f>
        <v>1019750</v>
      </c>
      <c r="H52" s="35"/>
    </row>
    <row r="53" spans="1:8" s="36" customFormat="1" ht="58.5" customHeight="1">
      <c r="A53" s="15">
        <v>250903</v>
      </c>
      <c r="B53" s="12" t="s">
        <v>49</v>
      </c>
      <c r="C53" s="33" t="s">
        <v>50</v>
      </c>
      <c r="D53" s="37">
        <v>400000</v>
      </c>
      <c r="E53" s="33" t="s">
        <v>50</v>
      </c>
      <c r="F53" s="16">
        <f>78000+147000</f>
        <v>225000</v>
      </c>
      <c r="G53" s="18">
        <f aca="true" t="shared" si="2" ref="G53:G63">D53+F53</f>
        <v>625000</v>
      </c>
      <c r="H53" s="35"/>
    </row>
    <row r="54" spans="1:8" s="36" customFormat="1" ht="58.5" customHeight="1">
      <c r="A54" s="32">
        <v>250911</v>
      </c>
      <c r="B54" s="33" t="s">
        <v>76</v>
      </c>
      <c r="C54" s="45"/>
      <c r="D54" s="60"/>
      <c r="E54" s="45" t="s">
        <v>77</v>
      </c>
      <c r="F54" s="16">
        <f>40000+120000</f>
        <v>160000</v>
      </c>
      <c r="G54" s="18">
        <f t="shared" si="2"/>
        <v>160000</v>
      </c>
      <c r="H54" s="35"/>
    </row>
    <row r="55" spans="1:8" s="36" customFormat="1" ht="58.5" customHeight="1">
      <c r="A55" s="15">
        <v>250911</v>
      </c>
      <c r="B55" s="12" t="s">
        <v>76</v>
      </c>
      <c r="C55" s="12" t="s">
        <v>78</v>
      </c>
      <c r="D55" s="16">
        <v>70750</v>
      </c>
      <c r="E55" s="12" t="s">
        <v>78</v>
      </c>
      <c r="F55" s="16">
        <f>125000+39000</f>
        <v>164000</v>
      </c>
      <c r="G55" s="18">
        <f t="shared" si="2"/>
        <v>234750</v>
      </c>
      <c r="H55" s="35"/>
    </row>
    <row r="56" spans="1:8" s="36" customFormat="1" ht="58.5" customHeight="1">
      <c r="A56" s="9" t="s">
        <v>52</v>
      </c>
      <c r="B56" s="10" t="s">
        <v>53</v>
      </c>
      <c r="C56" s="11" t="s">
        <v>0</v>
      </c>
      <c r="D56" s="17">
        <f>D57+D58</f>
        <v>13826.55</v>
      </c>
      <c r="E56" s="11" t="s">
        <v>0</v>
      </c>
      <c r="F56" s="17">
        <f>F57+F58</f>
        <v>40000</v>
      </c>
      <c r="G56" s="17">
        <f>D56+F56</f>
        <v>53826.55</v>
      </c>
      <c r="H56" s="35"/>
    </row>
    <row r="57" spans="1:8" s="36" customFormat="1" ht="77.25" customHeight="1">
      <c r="A57" s="32" t="s">
        <v>54</v>
      </c>
      <c r="B57" s="33" t="s">
        <v>55</v>
      </c>
      <c r="C57" s="54"/>
      <c r="D57" s="55"/>
      <c r="E57" s="33" t="s">
        <v>56</v>
      </c>
      <c r="F57" s="16">
        <v>40000</v>
      </c>
      <c r="G57" s="18">
        <f t="shared" si="2"/>
        <v>40000</v>
      </c>
      <c r="H57" s="35"/>
    </row>
    <row r="58" spans="1:8" s="36" customFormat="1" ht="38.25" customHeight="1">
      <c r="A58" s="15" t="s">
        <v>79</v>
      </c>
      <c r="B58" s="12" t="s">
        <v>80</v>
      </c>
      <c r="C58" s="12" t="s">
        <v>81</v>
      </c>
      <c r="D58" s="21">
        <v>13826.55</v>
      </c>
      <c r="E58" s="12"/>
      <c r="F58" s="16"/>
      <c r="G58" s="18">
        <f t="shared" si="2"/>
        <v>13826.55</v>
      </c>
      <c r="H58" s="35"/>
    </row>
    <row r="59" spans="1:8" s="36" customFormat="1" ht="60" customHeight="1">
      <c r="A59" s="47" t="s">
        <v>33</v>
      </c>
      <c r="B59" s="48" t="s">
        <v>34</v>
      </c>
      <c r="C59" s="11" t="s">
        <v>0</v>
      </c>
      <c r="D59" s="17">
        <f>D60+D61+D62+D63</f>
        <v>317500.6</v>
      </c>
      <c r="E59" s="11" t="s">
        <v>0</v>
      </c>
      <c r="F59" s="17">
        <f>F60+F61+F62+F63</f>
        <v>556858</v>
      </c>
      <c r="G59" s="17">
        <f>D59+F59</f>
        <v>874358.6</v>
      </c>
      <c r="H59" s="58"/>
    </row>
    <row r="60" spans="1:8" s="36" customFormat="1" ht="39" customHeight="1">
      <c r="A60" s="32" t="s">
        <v>36</v>
      </c>
      <c r="B60" s="33" t="s">
        <v>37</v>
      </c>
      <c r="C60" s="44" t="s">
        <v>38</v>
      </c>
      <c r="D60" s="37">
        <v>134369.6</v>
      </c>
      <c r="E60" s="13"/>
      <c r="F60" s="16"/>
      <c r="G60" s="18">
        <f t="shared" si="2"/>
        <v>134369.6</v>
      </c>
      <c r="H60" s="35"/>
    </row>
    <row r="61" spans="1:8" s="36" customFormat="1" ht="37.5" customHeight="1">
      <c r="A61" s="32" t="s">
        <v>39</v>
      </c>
      <c r="B61" s="33" t="s">
        <v>40</v>
      </c>
      <c r="C61" s="44" t="s">
        <v>41</v>
      </c>
      <c r="D61" s="37">
        <v>46060</v>
      </c>
      <c r="E61" s="13"/>
      <c r="F61" s="16"/>
      <c r="G61" s="18">
        <f t="shared" si="2"/>
        <v>46060</v>
      </c>
      <c r="H61" s="35"/>
    </row>
    <row r="62" spans="1:8" s="36" customFormat="1" ht="59.25" customHeight="1">
      <c r="A62" s="32" t="s">
        <v>60</v>
      </c>
      <c r="B62" s="33" t="s">
        <v>62</v>
      </c>
      <c r="C62" s="13" t="s">
        <v>35</v>
      </c>
      <c r="D62" s="37">
        <v>15000</v>
      </c>
      <c r="E62" s="13"/>
      <c r="F62" s="16"/>
      <c r="G62" s="18">
        <f t="shared" si="2"/>
        <v>15000</v>
      </c>
      <c r="H62" s="35"/>
    </row>
    <row r="63" spans="1:8" s="36" customFormat="1" ht="59.25" customHeight="1">
      <c r="A63" s="32" t="s">
        <v>21</v>
      </c>
      <c r="B63" s="33" t="s">
        <v>29</v>
      </c>
      <c r="C63" s="61" t="s">
        <v>82</v>
      </c>
      <c r="D63" s="37">
        <v>122071</v>
      </c>
      <c r="E63" s="61" t="s">
        <v>82</v>
      </c>
      <c r="F63" s="16">
        <f>490058+66800</f>
        <v>556858</v>
      </c>
      <c r="G63" s="18">
        <f t="shared" si="2"/>
        <v>678929</v>
      </c>
      <c r="H63" s="35"/>
    </row>
    <row r="64" spans="1:8" s="7" customFormat="1" ht="25.5" customHeight="1">
      <c r="A64" s="8"/>
      <c r="B64" s="31" t="s">
        <v>0</v>
      </c>
      <c r="C64" s="14"/>
      <c r="D64" s="19">
        <f>D9+D11+D13+D15+D17+D43+D45+D48+D50+D52+D56+D59+D39+D27</f>
        <v>3531321.26</v>
      </c>
      <c r="E64" s="19"/>
      <c r="F64" s="19">
        <f>F9+F11+F13+F15+F17+F43+F45+F48+F50+F52+F56+F59+F39+F27</f>
        <v>3483332.7</v>
      </c>
      <c r="G64" s="19">
        <f>G9+G11+G13+G15+G17+G43+G45+G48+G50+G52+G56+G59+G39+G27</f>
        <v>7014653.959999999</v>
      </c>
      <c r="H64" s="58"/>
    </row>
    <row r="65" spans="1:7" ht="40.5" customHeight="1">
      <c r="A65" s="6"/>
      <c r="B65" s="2"/>
      <c r="C65" s="5"/>
      <c r="D65" s="22"/>
      <c r="E65" s="4"/>
      <c r="F65" s="23"/>
      <c r="G65" s="23"/>
    </row>
    <row r="66" spans="1:5" ht="25.5" customHeight="1">
      <c r="A66" s="41" t="s">
        <v>69</v>
      </c>
      <c r="B66" s="41"/>
      <c r="C66" s="41"/>
      <c r="D66" s="27"/>
      <c r="E66" s="42" t="s">
        <v>70</v>
      </c>
    </row>
    <row r="72" spans="1:4" ht="30.75" customHeight="1">
      <c r="A72" s="2"/>
      <c r="B72" s="3"/>
      <c r="C72" s="3"/>
      <c r="D72" s="23"/>
    </row>
  </sheetData>
  <sheetProtection/>
  <mergeCells count="4">
    <mergeCell ref="C1:D1"/>
    <mergeCell ref="E7:F7"/>
    <mergeCell ref="C7:D7"/>
    <mergeCell ref="A5:G5"/>
  </mergeCells>
  <printOptions horizontalCentered="1"/>
  <pageMargins left="0.5118110236220472" right="0.2362204724409449" top="0.31496062992125984" bottom="0.2755905511811024" header="0.2755905511811024" footer="0.07874015748031496"/>
  <pageSetup horizontalDpi="600" verticalDpi="600" orientation="landscape" paperSize="9" scale="46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66" customWidth="1"/>
    <col min="2" max="2" width="91.875" style="66" customWidth="1"/>
    <col min="3" max="3" width="5.75390625" style="66" hidden="1" customWidth="1"/>
    <col min="4" max="4" width="14.375" style="66" customWidth="1"/>
    <col min="5" max="5" width="11.375" style="66" hidden="1" customWidth="1"/>
    <col min="6" max="6" width="9.125" style="66" hidden="1" customWidth="1"/>
    <col min="7" max="7" width="12.75390625" style="66" bestFit="1" customWidth="1"/>
    <col min="8" max="16384" width="9.125" style="66" customWidth="1"/>
  </cols>
  <sheetData>
    <row r="1" ht="18.75" customHeight="1">
      <c r="D1" s="105" t="s">
        <v>155</v>
      </c>
    </row>
    <row r="2" ht="15.75">
      <c r="D2" s="105" t="s">
        <v>154</v>
      </c>
    </row>
    <row r="3" ht="15.75">
      <c r="D3" s="105" t="s">
        <v>153</v>
      </c>
    </row>
    <row r="4" spans="1:4" ht="21.75" customHeight="1">
      <c r="A4" s="104"/>
      <c r="B4" s="104"/>
      <c r="C4" s="104"/>
      <c r="D4" s="104"/>
    </row>
    <row r="5" spans="1:4" ht="41.25" customHeight="1">
      <c r="A5" s="103" t="s">
        <v>152</v>
      </c>
      <c r="B5" s="103"/>
      <c r="C5" s="103"/>
      <c r="D5" s="103"/>
    </row>
    <row r="6" spans="1:4" ht="29.25" customHeight="1">
      <c r="A6" s="102" t="s">
        <v>7</v>
      </c>
      <c r="B6" s="102"/>
      <c r="C6" s="102"/>
      <c r="D6" s="102"/>
    </row>
    <row r="7" spans="1:4" ht="24.75" customHeight="1">
      <c r="A7" s="101" t="s">
        <v>151</v>
      </c>
      <c r="B7" s="100" t="s">
        <v>150</v>
      </c>
      <c r="C7" s="100" t="s">
        <v>149</v>
      </c>
      <c r="D7" s="99" t="s">
        <v>148</v>
      </c>
    </row>
    <row r="8" spans="1:4" ht="31.5" customHeight="1">
      <c r="A8" s="98"/>
      <c r="B8" s="97"/>
      <c r="C8" s="97"/>
      <c r="D8" s="96"/>
    </row>
    <row r="9" spans="1:4" ht="15.75">
      <c r="A9" s="95">
        <v>1</v>
      </c>
      <c r="B9" s="95">
        <v>2</v>
      </c>
      <c r="C9" s="95">
        <v>3</v>
      </c>
      <c r="D9" s="95">
        <v>3</v>
      </c>
    </row>
    <row r="10" spans="1:4" ht="24.75" customHeight="1">
      <c r="A10" s="94" t="s">
        <v>147</v>
      </c>
      <c r="B10" s="93"/>
      <c r="C10" s="93"/>
      <c r="D10" s="92"/>
    </row>
    <row r="11" spans="1:4" ht="15.75">
      <c r="A11" s="80">
        <v>1</v>
      </c>
      <c r="B11" s="78" t="s">
        <v>146</v>
      </c>
      <c r="C11" s="78"/>
      <c r="D11" s="88">
        <f>66561+1000</f>
        <v>67561</v>
      </c>
    </row>
    <row r="12" spans="1:4" ht="35.25" customHeight="1">
      <c r="A12" s="80">
        <v>2</v>
      </c>
      <c r="B12" s="78" t="s">
        <v>145</v>
      </c>
      <c r="C12" s="78"/>
      <c r="D12" s="83">
        <f>348427+96968</f>
        <v>445395</v>
      </c>
    </row>
    <row r="13" spans="1:4" ht="30.75" customHeight="1">
      <c r="A13" s="80">
        <v>3</v>
      </c>
      <c r="B13" s="78" t="s">
        <v>144</v>
      </c>
      <c r="C13" s="78"/>
      <c r="D13" s="83">
        <f>552+29760</f>
        <v>30312</v>
      </c>
    </row>
    <row r="14" spans="1:4" ht="24.75" customHeight="1">
      <c r="A14" s="80">
        <v>4</v>
      </c>
      <c r="B14" s="78" t="s">
        <v>143</v>
      </c>
      <c r="C14" s="78"/>
      <c r="D14" s="83">
        <f>72815</f>
        <v>72815</v>
      </c>
    </row>
    <row r="15" spans="1:4" ht="34.5" customHeight="1">
      <c r="A15" s="80">
        <v>5</v>
      </c>
      <c r="B15" s="78" t="s">
        <v>142</v>
      </c>
      <c r="C15" s="78"/>
      <c r="D15" s="83">
        <f>30645+3491</f>
        <v>34136</v>
      </c>
    </row>
    <row r="16" spans="1:4" ht="15.75">
      <c r="A16" s="80">
        <v>6</v>
      </c>
      <c r="B16" s="78" t="s">
        <v>141</v>
      </c>
      <c r="C16" s="78"/>
      <c r="D16" s="83">
        <f>4544</f>
        <v>4544</v>
      </c>
    </row>
    <row r="17" spans="1:4" ht="37.5" customHeight="1">
      <c r="A17" s="80">
        <v>7</v>
      </c>
      <c r="B17" s="78" t="s">
        <v>140</v>
      </c>
      <c r="C17" s="78"/>
      <c r="D17" s="83">
        <f>29079.8-8733.32</f>
        <v>20346.48</v>
      </c>
    </row>
    <row r="18" spans="1:4" ht="36" customHeight="1">
      <c r="A18" s="80">
        <v>8</v>
      </c>
      <c r="B18" s="78" t="s">
        <v>139</v>
      </c>
      <c r="C18" s="78"/>
      <c r="D18" s="83">
        <v>162000</v>
      </c>
    </row>
    <row r="19" spans="1:4" ht="15.75">
      <c r="A19" s="80">
        <v>9</v>
      </c>
      <c r="B19" s="78" t="s">
        <v>138</v>
      </c>
      <c r="C19" s="78"/>
      <c r="D19" s="88">
        <f>406401.6-274602</f>
        <v>131799.59999999998</v>
      </c>
    </row>
    <row r="20" spans="1:4" ht="31.5">
      <c r="A20" s="80">
        <v>10</v>
      </c>
      <c r="B20" s="91" t="s">
        <v>137</v>
      </c>
      <c r="C20" s="78"/>
      <c r="D20" s="88">
        <v>27900</v>
      </c>
    </row>
    <row r="21" spans="1:4" ht="15.75">
      <c r="A21" s="80"/>
      <c r="B21" s="82" t="s">
        <v>124</v>
      </c>
      <c r="C21" s="78"/>
      <c r="D21" s="77">
        <f>SUM(D11:F20)</f>
        <v>996809.08</v>
      </c>
    </row>
    <row r="22" spans="1:4" ht="15.75">
      <c r="A22" s="86" t="s">
        <v>136</v>
      </c>
      <c r="B22" s="85"/>
      <c r="C22" s="85"/>
      <c r="D22" s="84"/>
    </row>
    <row r="23" spans="1:4" ht="31.5">
      <c r="A23" s="80"/>
      <c r="B23" s="90" t="s">
        <v>135</v>
      </c>
      <c r="C23" s="78"/>
      <c r="D23" s="88">
        <v>295000</v>
      </c>
    </row>
    <row r="24" spans="1:4" ht="31.5">
      <c r="A24" s="80"/>
      <c r="B24" s="90" t="s">
        <v>134</v>
      </c>
      <c r="C24" s="78"/>
      <c r="D24" s="88">
        <v>290000</v>
      </c>
    </row>
    <row r="25" spans="1:4" ht="15.75">
      <c r="A25" s="80"/>
      <c r="B25" s="82" t="s">
        <v>124</v>
      </c>
      <c r="C25" s="78"/>
      <c r="D25" s="77">
        <f>D23+D24</f>
        <v>585000</v>
      </c>
    </row>
    <row r="26" spans="1:4" ht="15.75">
      <c r="A26" s="86" t="s">
        <v>133</v>
      </c>
      <c r="B26" s="85"/>
      <c r="C26" s="85"/>
      <c r="D26" s="84"/>
    </row>
    <row r="27" spans="1:4" ht="63" customHeight="1">
      <c r="A27" s="80">
        <v>1</v>
      </c>
      <c r="B27" s="89" t="s">
        <v>132</v>
      </c>
      <c r="C27" s="78"/>
      <c r="D27" s="83">
        <v>38039</v>
      </c>
    </row>
    <row r="28" spans="1:4" ht="38.25" customHeight="1">
      <c r="A28" s="80">
        <v>2</v>
      </c>
      <c r="B28" s="89" t="s">
        <v>131</v>
      </c>
      <c r="C28" s="78"/>
      <c r="D28" s="88">
        <v>422573.36</v>
      </c>
    </row>
    <row r="29" spans="1:4" ht="15.75">
      <c r="A29" s="80"/>
      <c r="B29" s="78" t="s">
        <v>124</v>
      </c>
      <c r="C29" s="78"/>
      <c r="D29" s="81">
        <f>SUM(D27:D28)</f>
        <v>460612.36</v>
      </c>
    </row>
    <row r="30" spans="1:4" ht="15.75">
      <c r="A30" s="86" t="s">
        <v>130</v>
      </c>
      <c r="B30" s="85"/>
      <c r="C30" s="85"/>
      <c r="D30" s="84"/>
    </row>
    <row r="31" spans="1:4" ht="63">
      <c r="A31" s="80"/>
      <c r="B31" s="87" t="s">
        <v>129</v>
      </c>
      <c r="C31" s="78"/>
      <c r="D31" s="83">
        <v>32000</v>
      </c>
    </row>
    <row r="32" spans="1:4" ht="15.75">
      <c r="A32" s="80"/>
      <c r="B32" s="78" t="s">
        <v>124</v>
      </c>
      <c r="C32" s="78"/>
      <c r="D32" s="81">
        <f>D31</f>
        <v>32000</v>
      </c>
    </row>
    <row r="33" spans="1:4" ht="28.5" customHeight="1">
      <c r="A33" s="86" t="s">
        <v>128</v>
      </c>
      <c r="B33" s="85"/>
      <c r="C33" s="85"/>
      <c r="D33" s="84"/>
    </row>
    <row r="34" spans="1:4" ht="47.25">
      <c r="A34" s="80"/>
      <c r="B34" s="78" t="s">
        <v>127</v>
      </c>
      <c r="C34" s="78"/>
      <c r="D34" s="83">
        <v>91917.54</v>
      </c>
    </row>
    <row r="35" spans="1:4" ht="15.75">
      <c r="A35" s="80"/>
      <c r="B35" s="82" t="s">
        <v>124</v>
      </c>
      <c r="C35" s="78"/>
      <c r="D35" s="81">
        <f>D34</f>
        <v>91917.54</v>
      </c>
    </row>
    <row r="36" spans="1:4" ht="15.75">
      <c r="A36" s="86" t="s">
        <v>126</v>
      </c>
      <c r="B36" s="85"/>
      <c r="C36" s="85"/>
      <c r="D36" s="84"/>
    </row>
    <row r="37" spans="1:4" ht="31.5">
      <c r="A37" s="80"/>
      <c r="B37" s="78" t="s">
        <v>125</v>
      </c>
      <c r="C37" s="78"/>
      <c r="D37" s="83">
        <v>300000</v>
      </c>
    </row>
    <row r="38" spans="1:4" ht="15.75">
      <c r="A38" s="80"/>
      <c r="B38" s="82" t="s">
        <v>124</v>
      </c>
      <c r="C38" s="78"/>
      <c r="D38" s="81">
        <f>D37</f>
        <v>300000</v>
      </c>
    </row>
    <row r="39" spans="1:4" ht="22.5" customHeight="1">
      <c r="A39" s="80"/>
      <c r="B39" s="79" t="s">
        <v>123</v>
      </c>
      <c r="C39" s="78"/>
      <c r="D39" s="77">
        <f>D21+D25+D29+D32+D35+D38</f>
        <v>2466338.98</v>
      </c>
    </row>
    <row r="40" spans="1:4" ht="196.5" customHeight="1">
      <c r="A40" s="72"/>
      <c r="B40" s="71"/>
      <c r="C40" s="71"/>
      <c r="D40" s="70"/>
    </row>
    <row r="41" spans="1:4" ht="34.5" customHeight="1">
      <c r="A41" s="76" t="s">
        <v>122</v>
      </c>
      <c r="B41" s="75"/>
      <c r="C41" s="74" t="s">
        <v>70</v>
      </c>
      <c r="D41" s="73" t="s">
        <v>70</v>
      </c>
    </row>
    <row r="42" spans="1:4" ht="32.25" customHeight="1" hidden="1">
      <c r="A42" s="72"/>
      <c r="B42" s="71"/>
      <c r="C42" s="71"/>
      <c r="D42" s="70"/>
    </row>
    <row r="43" spans="1:4" ht="28.5" customHeight="1" hidden="1">
      <c r="A43" s="72"/>
      <c r="B43" s="71"/>
      <c r="C43" s="71"/>
      <c r="D43" s="70"/>
    </row>
    <row r="44" spans="1:4" ht="33" customHeight="1" hidden="1">
      <c r="A44" s="72"/>
      <c r="B44" s="71"/>
      <c r="C44" s="71"/>
      <c r="D44" s="70"/>
    </row>
    <row r="45" spans="1:4" ht="28.5" customHeight="1" hidden="1">
      <c r="A45" s="72"/>
      <c r="B45" s="71"/>
      <c r="C45" s="71"/>
      <c r="D45" s="70"/>
    </row>
    <row r="46" spans="2:4" ht="42.75" customHeight="1">
      <c r="B46" s="69"/>
      <c r="C46" s="69"/>
      <c r="D46" s="69"/>
    </row>
    <row r="47" spans="2:4" ht="30" customHeight="1">
      <c r="B47" s="69"/>
      <c r="C47" s="69"/>
      <c r="D47" s="69"/>
    </row>
    <row r="48" spans="2:4" ht="45.75" customHeight="1">
      <c r="B48" s="69"/>
      <c r="C48" s="69"/>
      <c r="D48" s="69"/>
    </row>
    <row r="49" spans="2:4" ht="44.25" customHeight="1">
      <c r="B49" s="69"/>
      <c r="C49" s="69"/>
      <c r="D49" s="69"/>
    </row>
    <row r="50" spans="2:4" ht="30" customHeight="1">
      <c r="B50" s="69"/>
      <c r="C50" s="69"/>
      <c r="D50" s="69"/>
    </row>
    <row r="51" spans="2:4" ht="30" customHeight="1">
      <c r="B51" s="69"/>
      <c r="C51" s="69"/>
      <c r="D51" s="69"/>
    </row>
    <row r="52" spans="2:4" ht="30" customHeight="1">
      <c r="B52" s="69"/>
      <c r="C52" s="69"/>
      <c r="D52" s="69"/>
    </row>
    <row r="53" spans="2:4" ht="18.75" customHeight="1">
      <c r="B53" s="69"/>
      <c r="C53" s="69"/>
      <c r="D53" s="69"/>
    </row>
    <row r="54" ht="15.75" customHeight="1" hidden="1"/>
    <row r="55" ht="15.75" customHeight="1" hidden="1">
      <c r="B55" s="68" t="s">
        <v>121</v>
      </c>
    </row>
    <row r="56" ht="15.75" customHeight="1" hidden="1">
      <c r="B56" s="68" t="s">
        <v>120</v>
      </c>
    </row>
    <row r="57" ht="15.75" customHeight="1" hidden="1">
      <c r="B57" s="67"/>
    </row>
    <row r="58" ht="3" customHeight="1" hidden="1"/>
    <row r="59" ht="31.5" customHeight="1" hidden="1"/>
    <row r="60" ht="18" customHeight="1"/>
    <row r="61" ht="22.5" customHeight="1"/>
    <row r="62" ht="12" customHeight="1"/>
    <row r="63" ht="11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21" customHeight="1"/>
    <row r="94" ht="15.75" customHeight="1"/>
  </sheetData>
  <sheetProtection/>
  <mergeCells count="13">
    <mergeCell ref="C7:C8"/>
    <mergeCell ref="D7:D8"/>
    <mergeCell ref="A10:D10"/>
    <mergeCell ref="A22:D22"/>
    <mergeCell ref="A26:D26"/>
    <mergeCell ref="A30:D30"/>
    <mergeCell ref="A33:D33"/>
    <mergeCell ref="A36:D36"/>
    <mergeCell ref="A4:D4"/>
    <mergeCell ref="A5:D5"/>
    <mergeCell ref="A6:D6"/>
    <mergeCell ref="A7:A8"/>
    <mergeCell ref="B7:B8"/>
  </mergeCells>
  <printOptions/>
  <pageMargins left="0.6299212598425197" right="0.2362204724409449" top="0.31496062992125984" bottom="0.03937007874015748" header="0.15748031496062992" footer="0.1968503937007874"/>
  <pageSetup horizontalDpi="300" verticalDpi="300" orientation="portrait" paperSize="9" scale="86" r:id="rId1"/>
  <headerFooter differentFirst="1" alignWithMargins="0">
    <oddHeader>&amp;C&amp;"Times New Roman,звичайний"&amp;8&amp;P</oddHeader>
  </headerFooter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2014-01-22T12:19:42Z</cp:lastPrinted>
  <dcterms:created xsi:type="dcterms:W3CDTF">2006-12-24T13:19:10Z</dcterms:created>
  <dcterms:modified xsi:type="dcterms:W3CDTF">2014-02-10T09:32:27Z</dcterms:modified>
  <cp:category/>
  <cp:version/>
  <cp:contentType/>
  <cp:contentStatus/>
</cp:coreProperties>
</file>