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335" tabRatio="583" activeTab="1"/>
  </bookViews>
  <sheets>
    <sheet name="Додаток 4" sheetId="1" r:id="rId1"/>
    <sheet name="Додаток 3" sheetId="2" r:id="rId2"/>
  </sheets>
  <definedNames>
    <definedName name="_xlnm.Print_Area" localSheetId="1">'Додаток 3'!$A$1:$M$60</definedName>
    <definedName name="_xlnm.Print_Area" localSheetId="0">'Додаток 4'!$A$1:$X$1561</definedName>
  </definedNames>
  <calcPr fullCalcOnLoad="1"/>
</workbook>
</file>

<file path=xl/sharedStrings.xml><?xml version="1.0" encoding="utf-8"?>
<sst xmlns="http://schemas.openxmlformats.org/spreadsheetml/2006/main" count="2335" uniqueCount="747">
  <si>
    <t>№ (в межах СНП)</t>
  </si>
  <si>
    <t xml:space="preserve">новозбудованих (запланованих до будівництва протягом 2012 - 2015 років) вулиць СНП, що потребують електрифікації </t>
  </si>
  <si>
    <t>с.  Михалин, хутір Люшкове</t>
  </si>
  <si>
    <t>с. Зірне, урочище Очеретянка</t>
  </si>
  <si>
    <t xml:space="preserve"> с. Маринин, вул. Шкільна</t>
  </si>
  <si>
    <t>с.  Тишиця,  вул. Центральна</t>
  </si>
  <si>
    <t xml:space="preserve">с. Тишиця, вул. Квіткова </t>
  </si>
  <si>
    <t xml:space="preserve">с. Тишиця, вул. Весела </t>
  </si>
  <si>
    <t xml:space="preserve"> с. Тишиця, вул. Прислучанська </t>
  </si>
  <si>
    <t xml:space="preserve">с. Тишиця, вул. Лугова  </t>
  </si>
  <si>
    <t>смт Володимирець, вулиці Заводська, Аеродромівська, Кн.Ольги</t>
  </si>
  <si>
    <t>смт Володимирець, вулиці Вербова, Володимирська, Шкільна, Освітянська, Головка</t>
  </si>
  <si>
    <t>смт Володимирець, вулиці Кармелюка, Тополева, Західна, Головка, Шкільна</t>
  </si>
  <si>
    <t>смт Володимирець, вул. 1 Травня</t>
  </si>
  <si>
    <t>c. Степангород, вул. Шитова</t>
  </si>
  <si>
    <t>c. Степангород, вул. Набережна</t>
  </si>
  <si>
    <t>смт Володимирець, вул. Кобилянської, вул. Кн.Чарторийських, вул. Кн.Володимира, вул. Медова, вул. Бурки, вул. Хутірська</t>
  </si>
  <si>
    <t>c. Антонівка, вулиці Польова, Молодіжна (виготовлена проектно-кошторисна документація)</t>
  </si>
  <si>
    <t>с. Чаква, вулиці Вишнева, Лісова, Зелена, пров. Зелений (виготовлена проектно-кошторисна документація)</t>
  </si>
  <si>
    <t>с. Полиці, масив "Ризок" (вулиці Нова, Шевченка, Поліська, Вишнева, Садова, Миру, Спортивна, пров. Польовий) (виготовлена проектно-кошторисна документація)</t>
  </si>
  <si>
    <t>смт Володимирець, вулиці Пересопницька, І.Богуна (ліва сторона, урочище "Бурки") (виготовлена проектно-кошторисна документація)</t>
  </si>
  <si>
    <t>смт Володимирець, вулиці Полуботка, Мазепи, Стрілецька (права сторона, урочище "Бурки") (виготовлена проектно-кошторисна документація)</t>
  </si>
  <si>
    <t>смт Володимирець, вул. М. Куца (права сторона, урочище "Бурки")</t>
  </si>
  <si>
    <t>с. Великі Телковичі, вул. Садова</t>
  </si>
  <si>
    <t xml:space="preserve">с. Городець, вул. Садова </t>
  </si>
  <si>
    <t>с. Жовкині, вул. Колгоспна</t>
  </si>
  <si>
    <t>с. Суховоля, вул. Лісна</t>
  </si>
  <si>
    <t>с. Кримне, вул. Центральна</t>
  </si>
  <si>
    <t>с. Ромейки, вул. Зарічна</t>
  </si>
  <si>
    <t>с. Собіщиці, вул. Московська</t>
  </si>
  <si>
    <t>смт Володимирець, вул. І.Богуна (права сторона, урочище "Бурки")</t>
  </si>
  <si>
    <t xml:space="preserve">смт Володимирець, вул. Пересопницька (права сторона, урочище "Бурки") </t>
  </si>
  <si>
    <t xml:space="preserve">смт Володимирець, вул. Полуботка (ліва сторона, урочище "Бурки") </t>
  </si>
  <si>
    <t>смт Володимирець, вул. Мазепи (ліва сторона, урочище "Бурки")</t>
  </si>
  <si>
    <t>смт Володимирець, вул. Стрілецька (ліва сторона, урочище "Бурки")</t>
  </si>
  <si>
    <t>с. Малий Жолудськ, вул. Церковна</t>
  </si>
  <si>
    <t>с. Великі Телковичі, вул. Дружби</t>
  </si>
  <si>
    <t>смт Володимирець, вул. Калнишевського</t>
  </si>
  <si>
    <t>смт Володимирець, вул. Бурштинова</t>
  </si>
  <si>
    <t>с. Заболоття, вул. І.Костюка</t>
  </si>
  <si>
    <t>05. Дубенський район</t>
  </si>
  <si>
    <t>с. Злинець, вул. Заводська</t>
  </si>
  <si>
    <t xml:space="preserve">с.  Дібрівськ, урочище Став </t>
  </si>
  <si>
    <t>Всього по урочищу Красно-береззя</t>
  </si>
  <si>
    <t>с.  Копиткове, вул. Лісова</t>
  </si>
  <si>
    <t>с. Гвіздів, вул. Пасічника</t>
  </si>
  <si>
    <t>с.  Гвіздів, хутір Монашинський</t>
  </si>
  <si>
    <t>с.  Трубиці, вул.  Перемоги</t>
  </si>
  <si>
    <t>с. Маща, вул. Лугова</t>
  </si>
  <si>
    <t>с.  Вельбівно, масив Новий</t>
  </si>
  <si>
    <t>с.  Грозів, хутір Прогрес</t>
  </si>
  <si>
    <t>с. Руда - Красна, вул. Деражненська</t>
  </si>
  <si>
    <t>с. Ясининичі, вул. Зелена</t>
  </si>
  <si>
    <t>с. Ясининичі, вул. Вишнева</t>
  </si>
  <si>
    <t>с. Ясининичі, вул. Слов'янська</t>
  </si>
  <si>
    <t>с. Ясининичі, вул. Хмельницького</t>
  </si>
  <si>
    <t>с. Ясининичі, вул. Козацька</t>
  </si>
  <si>
    <t>с. Рокитне, вул. Гандровище (вулиці Івана Франка та Грушевського)</t>
  </si>
  <si>
    <t>с.  Купель, вул.  Молодіжна</t>
  </si>
  <si>
    <t>с.  Мушні, вул.  Молодіжна</t>
  </si>
  <si>
    <t>с.  Обсіч, вул.  Перспективна</t>
  </si>
  <si>
    <t xml:space="preserve"> с. Масевичі, вул. Масевицька, вул. Вишнева, вул. О.Гончара та вул. Квітнева (Масевицька сільська рада)</t>
  </si>
  <si>
    <t xml:space="preserve">с. Рокитне, вул. Чайковського, пров. Чайковського, вул. Приходька та вул. 65 річниці Перемоги (Рокитнівська сільська рада) </t>
  </si>
  <si>
    <t>с. Блажове, вул. М.Борисовця (Блажівська сільська рада)</t>
  </si>
  <si>
    <t>с. Блажове, вул. Грушевського (Блажівська сільська рада)</t>
  </si>
  <si>
    <t>с. Блажове, вул. Забарська  (Блажівська сільська рада)</t>
  </si>
  <si>
    <t>с. Залав'я, вул. Л.Українки  (Блажівська сільська рада)</t>
  </si>
  <si>
    <t>с. Більськ, вул. Проектна  (Блажівська сільська рада)</t>
  </si>
  <si>
    <t>с. Городок, масив "Кільце"</t>
  </si>
  <si>
    <t>с. Городок, масив "Яцелик"</t>
  </si>
  <si>
    <t>с. Городок, масив "Клим'янтове"</t>
  </si>
  <si>
    <t>вул. Володимирська, с. Серники, Серницька сільська рада</t>
  </si>
  <si>
    <t>вул. Нова 1, с. Серники, Серницька сільська рада</t>
  </si>
  <si>
    <t>вул. Нова 2, с. Серники, Серницька сільська рада</t>
  </si>
  <si>
    <t>вул. Ольос, с. Борове, Борівська сільська рада</t>
  </si>
  <si>
    <t>вул. Колгоспна, с. Борове, Борівська сільська рада</t>
  </si>
  <si>
    <t>вул. Лісова, с. Борове, Борівська сільська рада</t>
  </si>
  <si>
    <t>вул. Березова, с. Кухче, Кухченська сільська рада</t>
  </si>
  <si>
    <t>вул. Нова 1, с. Кухче, Кухченська сільська рада</t>
  </si>
  <si>
    <t>вул. Молодіжна, с. Морочне, Морочненська сільська рада</t>
  </si>
  <si>
    <t>вул. Королівська, с. Морочне, Морочненська сільська рада</t>
  </si>
  <si>
    <t>вул. Центральна, с. Морочне, Морочненська сільська рада</t>
  </si>
  <si>
    <t>с. Шпанів, масив 5-ий кілометр</t>
  </si>
  <si>
    <t>селище Чемерне, вул. Молодіжна</t>
  </si>
  <si>
    <t>селище Чемерне, вул.  Польова</t>
  </si>
  <si>
    <t>с.  Дібрівка, вул. Кубіка</t>
  </si>
  <si>
    <t>с. Тараканів, вул.  Нова-І</t>
  </si>
  <si>
    <t xml:space="preserve">с. Тараканів, вул.  Нова-ІІ </t>
  </si>
  <si>
    <t>с. Молодаво Перше, вул. Молодіжна І</t>
  </si>
  <si>
    <t xml:space="preserve">с. Молодаво Перше, вул. Нова </t>
  </si>
  <si>
    <t xml:space="preserve">с. Стара Миколаївка, вул. М.Грушевського </t>
  </si>
  <si>
    <t>с. Великі Цепцевичі, вул. Нова 3</t>
  </si>
  <si>
    <t>с. Степангород, вул. Дружби (виготовлена проектно-кошторисна документація)</t>
  </si>
  <si>
    <t>смт Володимирець, напрямок с. Антонівка (права сторона)</t>
  </si>
  <si>
    <t>По електрифікації ліній електропередачі с. Дібрівськ проектно-кошторисна документація виготовлена</t>
  </si>
  <si>
    <t>вул. Набережна, с. Кухітська Воля, Кухітсько-Вільська сільська рада</t>
  </si>
  <si>
    <t>вул. Попова, с. Новорічиця, Новорічицька сільська рада</t>
  </si>
  <si>
    <t>с.  Ясининичі, вул. Слов'янська</t>
  </si>
  <si>
    <t xml:space="preserve">с.  Шпанів, масив </t>
  </si>
  <si>
    <t>с. Залав'я, вул. Грушевського (Блажівська сільська рада)</t>
  </si>
  <si>
    <t xml:space="preserve"> смт Томашгород, вул. Л.Українки та вул. Томаша  (Томашгородська селищна рада)</t>
  </si>
  <si>
    <t>с. Карпилівка, вул. Лісова (Карпилівська сільська рада)</t>
  </si>
  <si>
    <t>с. Іванівка, вул. Варшавська (Костянтинівська сільська рада)</t>
  </si>
  <si>
    <t>с. Клесів, вул. Я. Мудрого (Клесівська селищна рада)</t>
  </si>
  <si>
    <r>
      <t xml:space="preserve">Потреба в електромережі для електрифікації вулиці, </t>
    </r>
    <r>
      <rPr>
        <b/>
        <sz val="12"/>
        <rFont val="Arial"/>
        <family val="2"/>
      </rPr>
      <t>метрів</t>
    </r>
  </si>
  <si>
    <t xml:space="preserve">№ </t>
  </si>
  <si>
    <t>с. Великі Телковичі, вул. Щорса</t>
  </si>
  <si>
    <t>с. Малий Жолудськ, вул. Малинова</t>
  </si>
  <si>
    <t>с. Хиночі, вул. Садова</t>
  </si>
  <si>
    <t>с. Журавлине, вул. Озерна</t>
  </si>
  <si>
    <t>с. Суховоля, вул. Поліська</t>
  </si>
  <si>
    <t>с. Заболоття, вул. Л.Українки, вул. Лісна</t>
  </si>
  <si>
    <t xml:space="preserve">с. Довговоля, вул. Поліська (вул. Нова 2) </t>
  </si>
  <si>
    <t>с. Городець, вул. Шкільна</t>
  </si>
  <si>
    <t>с. Городець, вул. Степова</t>
  </si>
  <si>
    <t>с. Нетреба, вул. Колгоспна</t>
  </si>
  <si>
    <t>с. Малий Жолудськ, вул. Старосільська</t>
  </si>
  <si>
    <t>с. Більська Воля, вул. Обшарна</t>
  </si>
  <si>
    <t>с. Більська Воля, вул. Молодіжна</t>
  </si>
  <si>
    <t>с. Городище, вул. Гончарна</t>
  </si>
  <si>
    <t>с. Городище, вул. Паркова</t>
  </si>
  <si>
    <t>с. Городище, вул. Вишнева</t>
  </si>
  <si>
    <t>с. Вітковичі, вул. Загірська</t>
  </si>
  <si>
    <t>с. Малинськ, вул. Поштова</t>
  </si>
  <si>
    <t>с. Городище,вул. Квітнева</t>
  </si>
  <si>
    <t>с. Моквин, вул. Першотравнева</t>
  </si>
  <si>
    <t>с. Городище, вул. Вербова</t>
  </si>
  <si>
    <t>с. Городище, вул. Полянська</t>
  </si>
  <si>
    <t>с. Орлівка, вул. Садова</t>
  </si>
  <si>
    <t>с. Малинськ, вул. Першотравнева</t>
  </si>
  <si>
    <t>с. Малинськ, вул. Тиха</t>
  </si>
  <si>
    <t>с. Малинськ, вул. Вереснева</t>
  </si>
  <si>
    <t>с. Колодязне, вул. Садова</t>
  </si>
  <si>
    <t>смт Володимирець, вул. Незалежності</t>
  </si>
  <si>
    <t>смт Володимирець, вул. Д.Галицького</t>
  </si>
  <si>
    <t>смт Рафалівка, вул. Я.Мудрого</t>
  </si>
  <si>
    <t>смт Рафалівка, вул. У.Самчука</t>
  </si>
  <si>
    <t>смт Рафалівка, вул. Західна</t>
  </si>
  <si>
    <t>смт Рафалівка, вул. Комарова</t>
  </si>
  <si>
    <t>с. Антонівка, вул. Польова</t>
  </si>
  <si>
    <t>с. Антонівка, вул. Молодіжна</t>
  </si>
  <si>
    <t>с. Антонівка, вул. Вишнева</t>
  </si>
  <si>
    <t>с. Антонівка, вул. Лісова</t>
  </si>
  <si>
    <t>с. Більська Воля, вул. 17 Вересня</t>
  </si>
  <si>
    <t>с. Кідри, вул. Миру</t>
  </si>
  <si>
    <t>с. Кідри, вул. Лесі Українки</t>
  </si>
  <si>
    <t>с. Балаховичі, вул. Дружби</t>
  </si>
  <si>
    <t>с. Кругле, вул. Церковна</t>
  </si>
  <si>
    <t>с. Нетреба, вул. Садова</t>
  </si>
  <si>
    <t>с. Воронки, вул. Комсомольська</t>
  </si>
  <si>
    <t>с. Городець, вул. Варшавська</t>
  </si>
  <si>
    <t>с. Довговоля, вул. Нова</t>
  </si>
  <si>
    <t>с. Половлі, вул. Меліоративна</t>
  </si>
  <si>
    <t>с. Половлі, вул. Лісова</t>
  </si>
  <si>
    <t>с. Собіщиці, вул. Підлісна</t>
  </si>
  <si>
    <t>с. Зелене, вул. Садова</t>
  </si>
  <si>
    <t>смт Володимирець, вул. Гоголя, вул. Північна</t>
  </si>
  <si>
    <t>с. Великі Цепцевичі, вул. Нова 1</t>
  </si>
  <si>
    <t>с. Великі Цепцевичі, вул. Нова 2</t>
  </si>
  <si>
    <t>с. Острів, вул. Молодіжна</t>
  </si>
  <si>
    <t>с. Берестівка, вул. Центральна</t>
  </si>
  <si>
    <t>с. Кругле, вул. Обшарна</t>
  </si>
  <si>
    <t>с. Воронки, вул. Озерська</t>
  </si>
  <si>
    <t xml:space="preserve">с. Довговоля, вул. Нова 2 </t>
  </si>
  <si>
    <t>с. Заболоття, вул. Гранична</t>
  </si>
  <si>
    <t>с. Лозки, вул. Садова</t>
  </si>
  <si>
    <t>с. Любахи, вул.  Вишнева</t>
  </si>
  <si>
    <t>с. Зелениця, вул. Пісочна</t>
  </si>
  <si>
    <t>с. Собіщиці, вул. Вишнева</t>
  </si>
  <si>
    <t>с. Степангород, вул. Польова</t>
  </si>
  <si>
    <t>с. Воронки, вул. Молодіжна</t>
  </si>
  <si>
    <t>с. Велихів, вул. Нова</t>
  </si>
  <si>
    <t>с. Сварині, вул. Лісова</t>
  </si>
  <si>
    <t>с. Довговоля, вул. Нова 3</t>
  </si>
  <si>
    <t>с. Красносілля, вул. Лісова</t>
  </si>
  <si>
    <t>с. Суховоля, вул. Нова</t>
  </si>
  <si>
    <t>с. Мульчиці, вул. Заверська</t>
  </si>
  <si>
    <t>с. Озеро, вул. 40-річчя Перемоги</t>
  </si>
  <si>
    <t>с. Ромейки, вул. Набережна</t>
  </si>
  <si>
    <t>с. Собіщиці, вул. Т.Шевченка</t>
  </si>
  <si>
    <t>с. Степангород, вул. Нова</t>
  </si>
  <si>
    <t>с. Великі Цепцевичі, вул. Нова 4</t>
  </si>
  <si>
    <t>с. Городець, вул. Лугова</t>
  </si>
  <si>
    <t>с. Довговоля. вул. Нова 4</t>
  </si>
  <si>
    <t>с. Любахи, вул.  Нова</t>
  </si>
  <si>
    <t>с. Мульчиці, вул. Центральна</t>
  </si>
  <si>
    <t>с. Собіщиці, вул. Б.Хмельницького</t>
  </si>
  <si>
    <t>с. Степангород, вул. Хмельова</t>
  </si>
  <si>
    <t>с. Чудля, вул. Нова</t>
  </si>
  <si>
    <t>с. Журавлине, вул. Нова</t>
  </si>
  <si>
    <t>с. Сопачів, вул. Нова</t>
  </si>
  <si>
    <t>с. Озерці, вул. Нова</t>
  </si>
  <si>
    <t>с. Сопачів, вул. Набережна</t>
  </si>
  <si>
    <t>с. Соломіївка, вул. Молодіжна</t>
  </si>
  <si>
    <t>с. Удрицьк, вул. Старосільська</t>
  </si>
  <si>
    <t>с. Берестя, вул. Нова</t>
  </si>
  <si>
    <t>с. Бережниця, вул. Незалежності</t>
  </si>
  <si>
    <t>с. Сварицевичі, вул. Набережна</t>
  </si>
  <si>
    <t>с. Зелень, вул. Нова, вул. Молодіжна</t>
  </si>
  <si>
    <t>с. Колки, вул. Молодіжна</t>
  </si>
  <si>
    <t>с. Залужжя, вул. Дубіна</t>
  </si>
  <si>
    <t>с. Крупове, вул. Підлісна</t>
  </si>
  <si>
    <t>с. Партизанське, вул. Польова</t>
  </si>
  <si>
    <t>с. Висоцьк, вул. Білоруська</t>
  </si>
  <si>
    <t>с. Переброди, вул. Шкільна</t>
  </si>
  <si>
    <t>с. Будимля, вул. Лісова</t>
  </si>
  <si>
    <t>с. Заслуччя, вул. Бродки</t>
  </si>
  <si>
    <t>с. Жадень, вул. Шкільна</t>
  </si>
  <si>
    <t>с. Порубка, вул. Фабрична</t>
  </si>
  <si>
    <t>с. Бережки, вул. Польова, вул. Нова</t>
  </si>
  <si>
    <t>с. Озерськ, вул. Лісова</t>
  </si>
  <si>
    <t>с. Лісове, вул. Підлісна</t>
  </si>
  <si>
    <t>с. Городище, вул. Смородська</t>
  </si>
  <si>
    <t xml:space="preserve">с.  Богдашів, вул. Грушевського </t>
  </si>
  <si>
    <t>с.  Богдашів, вул. Запорізька</t>
  </si>
  <si>
    <t>с.  Богдашів, вул. Гагаріна</t>
  </si>
  <si>
    <t>с.  Богдашів, вул. Острозька</t>
  </si>
  <si>
    <t>с.  Богдашів, вул. Богдашівська</t>
  </si>
  <si>
    <t>с.  Здовбиця, вул. Глинська</t>
  </si>
  <si>
    <t>с.  Уїздці, вул. Гагаріна</t>
  </si>
  <si>
    <t>с.  Глинськ, вул. Трикорчми</t>
  </si>
  <si>
    <t>с.  Кунин, вул. Шкільна</t>
  </si>
  <si>
    <t>с.  Кунин, вул. Плесо</t>
  </si>
  <si>
    <t>с.  Новомильськ, вул. Центральна</t>
  </si>
  <si>
    <t>с.  Уїздці, вул. Щорса</t>
  </si>
  <si>
    <t>с.  Здовбиця, вул. Проектна</t>
  </si>
  <si>
    <t xml:space="preserve">с. Зоря, вул. Незалежності </t>
  </si>
  <si>
    <t>с. Зоря, вул. Котляревського</t>
  </si>
  <si>
    <t>с.  Зоря, вул. Каштанова</t>
  </si>
  <si>
    <t>с.  Зоря, вул. Грушевського</t>
  </si>
  <si>
    <t>с.  Решуцьк, вул. Військова</t>
  </si>
  <si>
    <t>с.  Шпанів, вул.  Гайова</t>
  </si>
  <si>
    <t>с.  Шпанів, вул.  Сагайдачного</t>
  </si>
  <si>
    <t>с. Нова Любомирка, вул. О.Кобилянської</t>
  </si>
  <si>
    <t>с. Біла Криниця, вул. Травнева</t>
  </si>
  <si>
    <t>с. Біла Криниця, вул. Чорновола</t>
  </si>
  <si>
    <t>с. Антопіль, вул. Набережна</t>
  </si>
  <si>
    <t>с. Карпилівка, вул. Нова</t>
  </si>
  <si>
    <t>с. Зоря, вул. Козацької слави</t>
  </si>
  <si>
    <t>с. Зоря, вул. Коротка</t>
  </si>
  <si>
    <t>с.  Зоря, вул. Жовтнева</t>
  </si>
  <si>
    <t>с.  Голишів. вул. 5-ої річниці Незалежності</t>
  </si>
  <si>
    <t>с. Великий Олексин, вул. Залізнична</t>
  </si>
  <si>
    <t>с. Великий Олексин, вул. Б.Хмельницького</t>
  </si>
  <si>
    <t>с. Великий Олексин, вул. Паркова</t>
  </si>
  <si>
    <t>с. Дядьковичі, вул. Яблунева</t>
  </si>
  <si>
    <t>с. Дядьковичі, вул. Вишнева</t>
  </si>
  <si>
    <t>с. Обарів, вул. Ювілейна</t>
  </si>
  <si>
    <t>с.  Милостів, вул. Серпнева</t>
  </si>
  <si>
    <t>с. Милостів, вул. Польова</t>
  </si>
  <si>
    <t>с. Милостів, вул. Троїцька</t>
  </si>
  <si>
    <t>с.  Козлин, вул. Лугова</t>
  </si>
  <si>
    <t>с.  Кустин, вул. Набережна</t>
  </si>
  <si>
    <t>с. Забороль, вул. Весела</t>
  </si>
  <si>
    <t>с. Бронники, вул. Нова</t>
  </si>
  <si>
    <t>с. Бронники, вул. Лесі Українки</t>
  </si>
  <si>
    <t>с. Жобрин, вул. Незалежності</t>
  </si>
  <si>
    <t>с.  Городище, вул. Л.Українки</t>
  </si>
  <si>
    <t>с.  Малий Житин, вул. Берегова</t>
  </si>
  <si>
    <t>с. Корнин, вул. Весняна</t>
  </si>
  <si>
    <t>с. Олександрія, вул. Вербицького</t>
  </si>
  <si>
    <t>с. Олександрія, вул. Грушевського</t>
  </si>
  <si>
    <t>с. Олександрія, вул. Соборності</t>
  </si>
  <si>
    <t>с. Олександрія, вул. Лісова</t>
  </si>
  <si>
    <t>с. Олександрія, вул. Незалежності</t>
  </si>
  <si>
    <t>с. Олександрія, вул. Сагайдачного</t>
  </si>
  <si>
    <t>с.  Михайлівка, вул. Нова</t>
  </si>
  <si>
    <t>с.  Метків, вул. Перша лінія</t>
  </si>
  <si>
    <t>смт Клевань, вул.  Незалежності</t>
  </si>
  <si>
    <t>смт Клевань, вул.  Гайдамацька</t>
  </si>
  <si>
    <t>с. Зоря, вул. Паркова</t>
  </si>
  <si>
    <t>с. Зоря, вул. Тиха</t>
  </si>
  <si>
    <t>с.  Велика Омеляна, вул. Паркова</t>
  </si>
  <si>
    <t>с.  Жобрин, вул. Лісова</t>
  </si>
  <si>
    <t>с. Малий Олексин, вул. Фізична</t>
  </si>
  <si>
    <t>с. Малий Олексин, вул. Короленка</t>
  </si>
  <si>
    <t>с. Малий Олексин, вул. Приміська</t>
  </si>
  <si>
    <t>с. Малий Олексин, вул. Ставкова</t>
  </si>
  <si>
    <t>с. Малий Олексин, вул. Польова</t>
  </si>
  <si>
    <t>с. Зозів, вул. І.Франка</t>
  </si>
  <si>
    <t>с.  Ходоси, вул. Польова</t>
  </si>
  <si>
    <t>с. Сергіївка, вул. Нова</t>
  </si>
  <si>
    <t>с.  Обарів, вул. Паркова</t>
  </si>
  <si>
    <t>с.  Великий Житин, вул. Приходька</t>
  </si>
  <si>
    <t>с. Великий Житин, вул. Садова</t>
  </si>
  <si>
    <t>с. Олександрія, вул. О.Теліги</t>
  </si>
  <si>
    <t>с. Олександрія, вул. М.Вороного</t>
  </si>
  <si>
    <t>с. Олександрія, вул. І.Мазепи</t>
  </si>
  <si>
    <t>с. Олександрія, вул.  Б.Хмельницького</t>
  </si>
  <si>
    <t>с.  Тайкури, вул. Нова</t>
  </si>
  <si>
    <t>смт Клевань, вул. Молодіжна</t>
  </si>
  <si>
    <t>с. Грабів, вул. Вишнева</t>
  </si>
  <si>
    <t>с. Грабів, вул. Оржівська</t>
  </si>
  <si>
    <t>с. Грабів, вул. Грушевського</t>
  </si>
  <si>
    <t>с. Грабів, вул. Незалежності</t>
  </si>
  <si>
    <t>с. Обарів, вул. Понебельська</t>
  </si>
  <si>
    <t>с.  Ставки, вул. Журавлина</t>
  </si>
  <si>
    <t>смт Квасилів, вул. Зелена</t>
  </si>
  <si>
    <t>с.  Грабів, вул. Козацька</t>
  </si>
  <si>
    <t>с.  Грабів, вул. Адамківська</t>
  </si>
  <si>
    <t>с. Обарів, вул. Городоцька</t>
  </si>
  <si>
    <t>с.  Бармаки, вул. Молодіжна</t>
  </si>
  <si>
    <t>с.  Олександрія, вул. М.Вовчка</t>
  </si>
  <si>
    <t>с.  Олександрія, вул. М.Хвильового</t>
  </si>
  <si>
    <t>с.  Олександрія, вул. М.Старицького</t>
  </si>
  <si>
    <t>с. Олександрія, вул. О.Ольжича</t>
  </si>
  <si>
    <t>с.  Бармаки, вул. Нова</t>
  </si>
  <si>
    <t>с.  Нова Українка, вул. Нова</t>
  </si>
  <si>
    <t>с.  Обарів, вул. Ясининицька</t>
  </si>
  <si>
    <t>с.  Обарів, вул. Вербова</t>
  </si>
  <si>
    <t>с. Масевичі, вул.  Відродження</t>
  </si>
  <si>
    <t>с.  Масевичі, вул.  Ниводська</t>
  </si>
  <si>
    <t>с. Масевичі, вул.  Миру</t>
  </si>
  <si>
    <t>с. Масевичі, вул.  Садова</t>
  </si>
  <si>
    <t>с. Масевичі, вул.  І. Франка</t>
  </si>
  <si>
    <t>с. Масевичі, вул.  Тиха</t>
  </si>
  <si>
    <t>с. Масевичі, вул.  Зелена</t>
  </si>
  <si>
    <t>с. Карпилівка, вул.  Перспективна</t>
  </si>
  <si>
    <t>с. Єльне, вул.  Зелена</t>
  </si>
  <si>
    <t>с. Рокитне, вул.  За водою</t>
  </si>
  <si>
    <t>с. Рокитне, вул.  Василіка</t>
  </si>
  <si>
    <t>смт  Томашгород, вул.  Ювілейна</t>
  </si>
  <si>
    <t>смт  Томашгород, вул.  Вереснева</t>
  </si>
  <si>
    <t>с. Глинне, вул.  Зарічна</t>
  </si>
  <si>
    <t>с.  Глинне, вул.  Центральна</t>
  </si>
  <si>
    <t>с.  Хміль, вул.  Центральна</t>
  </si>
  <si>
    <t>смт Томашгород, вул.  Леніна</t>
  </si>
  <si>
    <t>смт Томашгород, вул.  Покровська</t>
  </si>
  <si>
    <t>смт Томашгород, вул.  Нивки</t>
  </si>
  <si>
    <t>смт Томашгород , вул.  Вереснева</t>
  </si>
  <si>
    <t>смт Рокитне, вул.  Садова</t>
  </si>
  <si>
    <t>смт Рокитне, вул.  Вишнева</t>
  </si>
  <si>
    <t>смт Рокитне, вул.  Малинова</t>
  </si>
  <si>
    <t>смт Рокитне, вул.  Яблунева</t>
  </si>
  <si>
    <t>смт Рокитне, вул.  Пролетарська</t>
  </si>
  <si>
    <t>с. Карпилівка, вул.  Перспективна 1</t>
  </si>
  <si>
    <t>с.  Карпилівка, вул.  Перспективна 2</t>
  </si>
  <si>
    <t>с.  Рокитне, вул.  Кривець</t>
  </si>
  <si>
    <t>с.  Рокитне, вул.  Овчарник</t>
  </si>
  <si>
    <t>с.  Томашгород, вул.  Перспективна</t>
  </si>
  <si>
    <t>с.  Олександрівка, вул.  Шкільна</t>
  </si>
  <si>
    <t>с.  Дерть, вул.  Подол</t>
  </si>
  <si>
    <t>с.  Сновидовичі, вул.  Молодіжна</t>
  </si>
  <si>
    <t>с.  Вежиця, вул.  Перспективна</t>
  </si>
  <si>
    <t>с.  Переходичі, вул.  Перспективна</t>
  </si>
  <si>
    <t xml:space="preserve">с.  Заболоття, вул.  Перспективна </t>
  </si>
  <si>
    <t>с.  Грабунь, вул.  Перспективна</t>
  </si>
  <si>
    <t>с.  Старе Село, вул.  Галана</t>
  </si>
  <si>
    <t>с.  Старе Село, вул.  Павловича</t>
  </si>
  <si>
    <t>с.  Старе Село, вул.  Зарічна</t>
  </si>
  <si>
    <t>с.  Старе Село, вул.  Відінська</t>
  </si>
  <si>
    <t>с.  Старе Село , вул.  Перемоги</t>
  </si>
  <si>
    <t>с.  Дроздинь, вул.  Прикордонна</t>
  </si>
  <si>
    <t>с.  Борове, вул.  Перспективна</t>
  </si>
  <si>
    <t>с.  Лісове, вул.  За бабою</t>
  </si>
  <si>
    <t>с.  Осницьк, вул.  Забродок</t>
  </si>
  <si>
    <t>с. Томашгород, вул.  Коданська</t>
  </si>
  <si>
    <t>с.  Карпилівка, вул.  Перспективна</t>
  </si>
  <si>
    <t>с.  Глинне, вул.  Настахівська</t>
  </si>
  <si>
    <t>с.  Познань, вул.  Шкільна</t>
  </si>
  <si>
    <t>с.  Хміль, вул.  Шкільна</t>
  </si>
  <si>
    <t>с. Томашгород, вул.  Річна</t>
  </si>
  <si>
    <t>с. Більськ, вул.  Проектна</t>
  </si>
  <si>
    <t>с.  Дубно, вул.  Шкільна</t>
  </si>
  <si>
    <t>с. Хміль, вул.  Першотравнева</t>
  </si>
  <si>
    <t>с.  Томашгород, вул.  Буянівська</t>
  </si>
  <si>
    <t>смт Клесів, вул. Кузнецова</t>
  </si>
  <si>
    <t>с. Корост, вул. Вишнева</t>
  </si>
  <si>
    <t>с. Зносичі, вул. Нова</t>
  </si>
  <si>
    <t>с. Зносичі, вул. Медова</t>
  </si>
  <si>
    <t>с. Зносичі, вул. Поліська</t>
  </si>
  <si>
    <t>с. Чудель, вул.  Садова</t>
  </si>
  <si>
    <t>с. Чудель, вул. Молодіжна</t>
  </si>
  <si>
    <t>с. Тутовичі, вул. Зелена</t>
  </si>
  <si>
    <t>с. Яринівка, вул. Соснова</t>
  </si>
  <si>
    <t>с. Яринівка, вул. Борова</t>
  </si>
  <si>
    <t>с. Тинне, вул. Українська</t>
  </si>
  <si>
    <t>с. Тинне, вул. Грушевського</t>
  </si>
  <si>
    <t>с. Люхча, вул. Степова</t>
  </si>
  <si>
    <t>с. Люхча, вул. Центральна</t>
  </si>
  <si>
    <t>с. Ясногірка, вул. Лісова</t>
  </si>
  <si>
    <t>с. Ясногірка, вул. Л.Українки</t>
  </si>
  <si>
    <t>с. Немовичі, вул. Лісова</t>
  </si>
  <si>
    <t>с. Немовичі, вул. Правди</t>
  </si>
  <si>
    <t>с. Немовичі, вул. Виноградна</t>
  </si>
  <si>
    <t>с. Костянтинівка, вул.  Вереснева</t>
  </si>
  <si>
    <t>с. Костянтинівка, вул.  Поліська</t>
  </si>
  <si>
    <t>смт Степань, вул.  Володимирська</t>
  </si>
  <si>
    <t>с. Велике Вербче, вул.  Першотравнева</t>
  </si>
  <si>
    <t>с. Бутейки, вул.  Зелена</t>
  </si>
  <si>
    <t>с. Бутейки, вул.  Набережна</t>
  </si>
  <si>
    <t>с. Цепцевичі, вул. Кринична</t>
  </si>
  <si>
    <t>с. Довге, вул. Залізнична</t>
  </si>
  <si>
    <t xml:space="preserve"> с. Орлівка, вул.  Л.Українки</t>
  </si>
  <si>
    <t>с. Стрільськ, вул. Зелена</t>
  </si>
  <si>
    <t>с. Стрільськ, вул. Шевченка</t>
  </si>
  <si>
    <t>с. Чабель, вул. Б.Хмельницького</t>
  </si>
  <si>
    <t>с. Чабель, вул. Молодіжна</t>
  </si>
  <si>
    <t>с. Глушиця, вул. Симона Петлюри</t>
  </si>
  <si>
    <t>смт Степань, вул.  Героїв УПА</t>
  </si>
  <si>
    <t>смт Степань, вул. Івана Мазепи</t>
  </si>
  <si>
    <t xml:space="preserve">с. Мале Вербче, вул. Нова </t>
  </si>
  <si>
    <t>с.  Одринки, вул.  Лугова</t>
  </si>
  <si>
    <t>с. Висове, вул. Центральна</t>
  </si>
  <si>
    <t>с. Стрільськ, продовження вул. Гребля</t>
  </si>
  <si>
    <t>с. Селище, продовження вул. Шкільна</t>
  </si>
  <si>
    <t>с.  Вири, вул.  Рисьова</t>
  </si>
  <si>
    <t>с. Карпилівка, вул.  Лісова</t>
  </si>
  <si>
    <t>с. Клесів, вул.  Незалежності</t>
  </si>
  <si>
    <t>с. Олексіївка, вул.  Польова</t>
  </si>
  <si>
    <t>с. Клесів, вул.  Грушевського</t>
  </si>
  <si>
    <t>с.  Клесів, вул.  Котляревського</t>
  </si>
  <si>
    <t>с. Вітковичі, вул. Партизанська</t>
  </si>
  <si>
    <t>с. Балашівка, вул. Сівківська</t>
  </si>
  <si>
    <t>ПЕРЕЛІК</t>
  </si>
  <si>
    <t>в т.ч.</t>
  </si>
  <si>
    <t>Орієнтовна вартість приєднання потужності в цінах станом на 01.01.2008</t>
  </si>
  <si>
    <t>населення</t>
  </si>
  <si>
    <t>промислові споживачі</t>
  </si>
  <si>
    <t xml:space="preserve">непромислові споживачі </t>
  </si>
  <si>
    <t>потреба в трансформаторних підстанціях (КТП)</t>
  </si>
  <si>
    <t>кількість</t>
  </si>
  <si>
    <t>потужність</t>
  </si>
  <si>
    <t>Категорія надійності</t>
  </si>
  <si>
    <t>10 кВ</t>
  </si>
  <si>
    <t>0,4 кВ</t>
  </si>
  <si>
    <t>кВт</t>
  </si>
  <si>
    <t>кВА</t>
  </si>
  <si>
    <t>2010 рік</t>
  </si>
  <si>
    <t>2011 рік</t>
  </si>
  <si>
    <t>2012 рік</t>
  </si>
  <si>
    <t>Разом по СНП</t>
  </si>
  <si>
    <t>2013 рік</t>
  </si>
  <si>
    <t>ІІІ</t>
  </si>
  <si>
    <t>Разом за 2009 рік</t>
  </si>
  <si>
    <t>Разом за 2010 рік</t>
  </si>
  <si>
    <t>Разом за 2011 рік</t>
  </si>
  <si>
    <t>Разом за 2012 рік</t>
  </si>
  <si>
    <t>Разом за 2013 рік</t>
  </si>
  <si>
    <t>2014 рік</t>
  </si>
  <si>
    <t>2015 рік</t>
  </si>
  <si>
    <t>-</t>
  </si>
  <si>
    <t>06. Дубровицький район</t>
  </si>
  <si>
    <t>07. Зарічненський район</t>
  </si>
  <si>
    <t>Всього по урочищу Старий Аеропорт</t>
  </si>
  <si>
    <t>Всього по урочищу Новий Аеропорт</t>
  </si>
  <si>
    <t xml:space="preserve">2012 рік </t>
  </si>
  <si>
    <t>08. Здолбунівський район</t>
  </si>
  <si>
    <t>09. Корецький район</t>
  </si>
  <si>
    <t>10. Костопільський район</t>
  </si>
  <si>
    <t>Разом за 2015 рік</t>
  </si>
  <si>
    <t>11. Млинівський район</t>
  </si>
  <si>
    <t>12. Острозький район</t>
  </si>
  <si>
    <t>III</t>
  </si>
  <si>
    <t>13. Радивилівський район</t>
  </si>
  <si>
    <t>14. Рівненський район</t>
  </si>
  <si>
    <t>Разом за 2014 рік</t>
  </si>
  <si>
    <t>15. Рокитнівський район</t>
  </si>
  <si>
    <t xml:space="preserve"> 2013 рік</t>
  </si>
  <si>
    <t>16. Сарненський район</t>
  </si>
  <si>
    <t> III</t>
  </si>
  <si>
    <t> III </t>
  </si>
  <si>
    <t>III </t>
  </si>
  <si>
    <t>Разом за            2009 рік</t>
  </si>
  <si>
    <t>Разом за            2010 рік</t>
  </si>
  <si>
    <t>Разом за            2011 рік</t>
  </si>
  <si>
    <t>Разом за            2012 рік</t>
  </si>
  <si>
    <t>01. Березнівський район</t>
  </si>
  <si>
    <t>02. Володимирецький район</t>
  </si>
  <si>
    <t>03. Гощанський район</t>
  </si>
  <si>
    <t>04. Демидівський район</t>
  </si>
  <si>
    <t>_</t>
  </si>
  <si>
    <t>ІІ</t>
  </si>
  <si>
    <t xml:space="preserve"> 2012 рік</t>
  </si>
  <si>
    <t xml:space="preserve"> 2014 рік</t>
  </si>
  <si>
    <t xml:space="preserve"> 2015 рік</t>
  </si>
  <si>
    <t>Рівненська область</t>
  </si>
  <si>
    <t>Всього</t>
  </si>
  <si>
    <t>непромислові споживачі</t>
  </si>
  <si>
    <t>кількість, к.4+к.7+к.10</t>
  </si>
  <si>
    <t>потужність, к.5+к.8+к.11</t>
  </si>
  <si>
    <t>Загальна кількість споживачів та їх дозволена потужність електроустановок</t>
  </si>
  <si>
    <r>
      <t>кошти районного бюджету,</t>
    </r>
    <r>
      <rPr>
        <b/>
        <sz val="12"/>
        <color indexed="8"/>
        <rFont val="Arial"/>
        <family val="2"/>
      </rPr>
      <t xml:space="preserve"> 20 %</t>
    </r>
  </si>
  <si>
    <r>
      <t xml:space="preserve">кошти рад базового рівня, </t>
    </r>
    <r>
      <rPr>
        <b/>
        <sz val="12"/>
        <color indexed="8"/>
        <rFont val="Arial"/>
        <family val="2"/>
      </rPr>
      <t>20 %</t>
    </r>
  </si>
  <si>
    <r>
      <t xml:space="preserve">власні кошти, </t>
    </r>
    <r>
      <rPr>
        <b/>
        <sz val="12"/>
        <color indexed="8"/>
        <rFont val="Arial"/>
        <family val="2"/>
      </rPr>
      <t>100 %</t>
    </r>
  </si>
  <si>
    <t>смт Володимирець, урочище Бурки (права сторона)</t>
  </si>
  <si>
    <t>тис.  грн.</t>
  </si>
  <si>
    <t>смт Володимирець, напрямок с. Довговоля (ліва сторона)</t>
  </si>
  <si>
    <t>смт Володимирець, напрямок с. Антонівка (ліва сторона)</t>
  </si>
  <si>
    <t xml:space="preserve">с.  Перетоки </t>
  </si>
  <si>
    <t>с.  Лісопіль (Хотинка)</t>
  </si>
  <si>
    <t>с.  Злазне</t>
  </si>
  <si>
    <t>с.  Розваж</t>
  </si>
  <si>
    <t>с. Вересневе, І лінія</t>
  </si>
  <si>
    <t>с. Вересневе, ІІ лінія</t>
  </si>
  <si>
    <t>с. Вересневе, ІІІ лінія</t>
  </si>
  <si>
    <t>с. Вересневе, ІV лінія</t>
  </si>
  <si>
    <t>Роки</t>
  </si>
  <si>
    <t>Назва району</t>
  </si>
  <si>
    <t>ІІ півріччя 2008</t>
  </si>
  <si>
    <t>Березнівський</t>
  </si>
  <si>
    <t>Володимирецький</t>
  </si>
  <si>
    <t>Гощанський</t>
  </si>
  <si>
    <t>Демидівський</t>
  </si>
  <si>
    <t>Дубенський</t>
  </si>
  <si>
    <t>Дубровицький</t>
  </si>
  <si>
    <t>Зарічненський</t>
  </si>
  <si>
    <t>Здолбунівський</t>
  </si>
  <si>
    <t>Корецький</t>
  </si>
  <si>
    <t>Костопільський</t>
  </si>
  <si>
    <t>Млинівський</t>
  </si>
  <si>
    <t>Острозький</t>
  </si>
  <si>
    <t>Радивилівський</t>
  </si>
  <si>
    <t>Рівненський</t>
  </si>
  <si>
    <t>Рокитнівський</t>
  </si>
  <si>
    <t>Сарненський</t>
  </si>
  <si>
    <t>Категорії споживачів</t>
  </si>
  <si>
    <t>Населення</t>
  </si>
  <si>
    <t>Населені пункти</t>
  </si>
  <si>
    <t>КІЛЬКІСТЬ СПОЖИВАЧІВ</t>
  </si>
  <si>
    <t>Вулиці</t>
  </si>
  <si>
    <t>Загальна кількість споживачів</t>
  </si>
  <si>
    <t>с. Малушка, вул. Нова</t>
  </si>
  <si>
    <t>Загальна потужність приєднання електро-установок</t>
  </si>
  <si>
    <t>с. Балашівка, вул. С.Тулуба</t>
  </si>
  <si>
    <t>с. Михалин, вул. Проектна</t>
  </si>
  <si>
    <t>с. Хотин, вул. Проектна</t>
  </si>
  <si>
    <t>с. Тишиця, вул. Проектна</t>
  </si>
  <si>
    <t>смт Рафалівка, вул. Кн.Володимира</t>
  </si>
  <si>
    <t>с. Більська Воля, вул. Задорожна</t>
  </si>
  <si>
    <t>с. Рудка, вул. Замкова</t>
  </si>
  <si>
    <t>смт Володимирець, вул. Г.Леончук, вул. Сковороди, вул. Рівненська</t>
  </si>
  <si>
    <t>с. Степангород, вул. Т.Шевченка</t>
  </si>
  <si>
    <t>с. Поляни, вул. Нова</t>
  </si>
  <si>
    <t>с. Вітковичі, вул. Зарічна</t>
  </si>
  <si>
    <t>смт Володимирець, урочище Бурки (ліва сторона)</t>
  </si>
  <si>
    <t>смт Гоща, вул. Коновальця</t>
  </si>
  <si>
    <t xml:space="preserve">с. Воскодави, вул. Александровича </t>
  </si>
  <si>
    <t>с. Хрінники, вул. Польова</t>
  </si>
  <si>
    <t>с. Боремель, вул. Колгоспна</t>
  </si>
  <si>
    <t>с. Набережне, вул. Садова</t>
  </si>
  <si>
    <t>с. Рогізне, вул. Нова</t>
  </si>
  <si>
    <t>с. Новий Тік, вул. Центральна</t>
  </si>
  <si>
    <t>с. Товпижин, вул. Садова</t>
  </si>
  <si>
    <t>с. Вербень, вул. 19 Березня</t>
  </si>
  <si>
    <t>с. Малеве, вул. Набережна</t>
  </si>
  <si>
    <t>с. Хрінники, вул. Надстирна</t>
  </si>
  <si>
    <t>с.  Берестечко, вул. Весела</t>
  </si>
  <si>
    <t>с. Вовковиї, вул. Молодіжна</t>
  </si>
  <si>
    <t>с. Пашева, вул. Центральна</t>
  </si>
  <si>
    <t>с. Золочівка, вул. Центральна</t>
  </si>
  <si>
    <t>с. Лопавше, вул. Т.Шевченка</t>
  </si>
  <si>
    <t>с. Рачин, вул.  Міська</t>
  </si>
  <si>
    <t>с. Липа, вул. Польова</t>
  </si>
  <si>
    <t>с. Селець, вул. Мазепи, вул. І.Франка</t>
  </si>
  <si>
    <t>с. Орв'яниця, вул. Надрічна, вул. Садок</t>
  </si>
  <si>
    <t xml:space="preserve">с.  Дібрівськ, урочище Рубельське </t>
  </si>
  <si>
    <t xml:space="preserve">с.  Дібрівськ, урочище Болітце </t>
  </si>
  <si>
    <t xml:space="preserve">с.  Дібрівськ, урочище Шнури </t>
  </si>
  <si>
    <t>смт Зарічне, вул. У.Соколовської</t>
  </si>
  <si>
    <t>смт Зарічне, вул. Аерофлотська</t>
  </si>
  <si>
    <t>смт Зарічне, вул. Сонячна</t>
  </si>
  <si>
    <t>смт Зарічне, вул. Квітнева</t>
  </si>
  <si>
    <t>смт Зарічне, вул.  І.Трифонова</t>
  </si>
  <si>
    <t>смт Зарічне, вул. Гагаріна</t>
  </si>
  <si>
    <t>смт Зарічне, вул. Північна</t>
  </si>
  <si>
    <t>смт Зарічне, пров. Гагаріна</t>
  </si>
  <si>
    <t>смт Зарічне, вул. Соборна</t>
  </si>
  <si>
    <t>смт Зарічне, пров. Соборний</t>
  </si>
  <si>
    <t>смт Зарічне, вул. Єфремова</t>
  </si>
  <si>
    <t>смт Зарічне, вул. Харківця</t>
  </si>
  <si>
    <t>смт Зарічне, вул. Лісгоспна</t>
  </si>
  <si>
    <t>смт Зарічне, вул. В.Чорновола</t>
  </si>
  <si>
    <t>смт Зарічне, вул. Незалежності</t>
  </si>
  <si>
    <t>смт Зарічне, вул. Яблунева</t>
  </si>
  <si>
    <t>смт Зарічне, вул. Рівненська</t>
  </si>
  <si>
    <t xml:space="preserve">с. Дібрівськ,  урочище Рубельське </t>
  </si>
  <si>
    <t xml:space="preserve">с. Зелена Діброва,  вул. Молодіжна </t>
  </si>
  <si>
    <t xml:space="preserve">с. Вовчиці, урочище Вересоваха </t>
  </si>
  <si>
    <t>смт Зарічне, вул. Залізнична</t>
  </si>
  <si>
    <t>смт Зарічне, вул.  Вишнева</t>
  </si>
  <si>
    <t>смт Зарічне, вул. Нова 1</t>
  </si>
  <si>
    <t>смт Зарічне, вул. Нова 2</t>
  </si>
  <si>
    <t>смт Зарічне, вул.  Нова 3</t>
  </si>
  <si>
    <t>смт Зарічне, вул.  Нова 4</t>
  </si>
  <si>
    <t>смт Зарічне, вул.  Нова 5</t>
  </si>
  <si>
    <t>смт Зарічне, вул. Нова 6 та підключення до ТП</t>
  </si>
  <si>
    <t>смт Зарічне, вул. Нова 7</t>
  </si>
  <si>
    <t>смт Зарічне, вул. Нова 8 (Муравин) та підключення до ТП</t>
  </si>
  <si>
    <t>смт Мізоч, пров. Заводський</t>
  </si>
  <si>
    <t>с.  Корчів'я, вул.  Хмельницького</t>
  </si>
  <si>
    <t>с.  Корчів'я, вул.  Лугова</t>
  </si>
  <si>
    <t>с.  Лісопіль, вул.  Молодіжна</t>
  </si>
  <si>
    <t>с.  Н. Берестовець, вул. Нова</t>
  </si>
  <si>
    <t>с.  Постійне, вул.  Набережна</t>
  </si>
  <si>
    <t>с.  Мирне, вул.  Шевченка</t>
  </si>
  <si>
    <t>с.  Маща, вул.  Лугова</t>
  </si>
  <si>
    <t>с.  Корчин, вул.  Лісова</t>
  </si>
  <si>
    <t>с.  Іваничі, вул.  Молодіжна</t>
  </si>
  <si>
    <t>с.  Іваничі, вул.  Нова</t>
  </si>
  <si>
    <t>с.  Пісків, вул.  Молодіжна</t>
  </si>
  <si>
    <t xml:space="preserve">смт Млинів, вул. 17 Вересня </t>
  </si>
  <si>
    <t>смт Млинів, вул. Паркова</t>
  </si>
  <si>
    <t xml:space="preserve">с. Острожець, вул. Б.Хмельницького </t>
  </si>
  <si>
    <t>смт Млинів, вул. Гончара</t>
  </si>
  <si>
    <t>с. Острожець, вул. Нова</t>
  </si>
  <si>
    <t>с. Острожець, вул. Л.Українки</t>
  </si>
  <si>
    <t>смт Млинів, вул. Сагайдачного</t>
  </si>
  <si>
    <t xml:space="preserve">смт Млинів, вул. Коцюбинського </t>
  </si>
  <si>
    <t>с. Острожець, вул. Спортивна</t>
  </si>
  <si>
    <t>с. Острожець, вул. Молодіжна</t>
  </si>
  <si>
    <t>смт Млинів, вул. Дружби</t>
  </si>
  <si>
    <t>с. Острожець, вул. Паркова</t>
  </si>
  <si>
    <t>с. Острожець, вул. Пушкіна</t>
  </si>
  <si>
    <t>с. Острожець, вул. Зарічна</t>
  </si>
  <si>
    <t>с. Острожець, вул. Садова</t>
  </si>
  <si>
    <t>с. Острожець, пров. Енергетиків</t>
  </si>
  <si>
    <t>с. Острожець, вул. Піонерська</t>
  </si>
  <si>
    <t>с. Острожець, вул. Миру</t>
  </si>
  <si>
    <t>с. Острожець, вул. Набережна</t>
  </si>
  <si>
    <t>с. Острожець, вул. Берегова</t>
  </si>
  <si>
    <t>с. Острожець, вул. Грушевського</t>
  </si>
  <si>
    <t>с. Острожець, вул. Сухомлинського</t>
  </si>
  <si>
    <t>с. Малі Дорогостаї, вул. Польова</t>
  </si>
  <si>
    <t>с. Новоукраїнка, вул. Нова</t>
  </si>
  <si>
    <t>с.  Милятин, вул.  Т.Шевченка</t>
  </si>
  <si>
    <t>с.  Михайлівка, вул.  Центральна</t>
  </si>
  <si>
    <t>с.  Хорів, вул.  Зарічна</t>
  </si>
  <si>
    <t>с.  Бродівське, вул.  Б. Хмельницького</t>
  </si>
  <si>
    <t>с.  Верхів, вул.  Незалежності</t>
  </si>
  <si>
    <t>с.  Бадівка, вул.  Ватутіна</t>
  </si>
  <si>
    <t>с.  Шпанів, вул. С.Руданського</t>
  </si>
  <si>
    <t>с. Великий Олексин, вул. Кам'яна</t>
  </si>
  <si>
    <t>смт Клевань, пров. Соборний</t>
  </si>
  <si>
    <t>с. Велика Омеляна, вул. Шкільна</t>
  </si>
  <si>
    <t>с. Малий Олексин, вул. Кн.Острозького</t>
  </si>
  <si>
    <t>с.  Грабів, вул. Сім'ї Робітницьких</t>
  </si>
  <si>
    <t>с. Масевичі, вул.  Гарна</t>
  </si>
  <si>
    <t>с. Борове, вул.  Ювілейна</t>
  </si>
  <si>
    <t>смт Томашгород, вул.  Томаша</t>
  </si>
  <si>
    <t>смт Рокитне, вул.  1 Травня</t>
  </si>
  <si>
    <t>с. Рокитне, вул.  Б.Хмельницького</t>
  </si>
  <si>
    <t>с.  Лісове, вул.  За Лопугою</t>
  </si>
  <si>
    <t>с.  Осницьк, Школа</t>
  </si>
  <si>
    <t xml:space="preserve">с.  Кисоричі, вул.  Перспективна </t>
  </si>
  <si>
    <t>с.  Остки, вул.  Перспективна</t>
  </si>
  <si>
    <t>с.  Біловіж, вул.  Б.Хмельницького</t>
  </si>
  <si>
    <t>с. Старе Село, вул.  Б.Хмельницького</t>
  </si>
  <si>
    <t>с.  Старе Село, вул.  Зелена</t>
  </si>
  <si>
    <t xml:space="preserve">с.  Томашгород, вул.  Шкільна </t>
  </si>
  <si>
    <t xml:space="preserve">с. Глинне, вул.  Шкільна </t>
  </si>
  <si>
    <t>с.  Дубно, вул.  Першотравнева</t>
  </si>
  <si>
    <t>с.  Глинне, вул.  Лядівська</t>
  </si>
  <si>
    <t>смт Клесів,  вул. Соснова</t>
  </si>
  <si>
    <t>с. Довге, вул.  Лугова</t>
  </si>
  <si>
    <t>с. Корост, вул. Шевченка</t>
  </si>
  <si>
    <t xml:space="preserve"> с.  Мале Вербче, вул.  Шкільна</t>
  </si>
  <si>
    <t>с. Орлівка, вул.  Буханського</t>
  </si>
  <si>
    <t xml:space="preserve">с. Орлівка, вул.  Шевченка </t>
  </si>
  <si>
    <t>смт Зарічне, пров. І.Трифонова та підключення до ТП</t>
  </si>
  <si>
    <t>смт Зарічне, вул. Залізнична та підключення до ТП</t>
  </si>
  <si>
    <t>смт Зарічне, вул. Польова та підключення до ТП</t>
  </si>
  <si>
    <t xml:space="preserve">Проектно-кошторисна документація по смт Зарічне в стадії виготовлення </t>
  </si>
  <si>
    <t>с.  Дермань Перша, вул. Набережна</t>
  </si>
  <si>
    <t>с.  Уїздці, вул. Дубенський шлях</t>
  </si>
  <si>
    <t>с.  Уїздці, вул. Нивки</t>
  </si>
  <si>
    <t>с.  Новий Корець, вул.  Володимирська</t>
  </si>
  <si>
    <t>с. Новий Моквин, вул. Б.Хмельницького</t>
  </si>
  <si>
    <t>с.  Новий Корець, вул.  Кн.Ольги</t>
  </si>
  <si>
    <t>с.  Новий Корець, вул.  Л.Українки</t>
  </si>
  <si>
    <t>с.  Мала Любаша, пров. Лісний</t>
  </si>
  <si>
    <t>с.  Новий Берестовець, вул. Вишнева</t>
  </si>
  <si>
    <t>с.  Рокитне, вул. Затишна</t>
  </si>
  <si>
    <t>с.  Головин, вул.  Островського</t>
  </si>
  <si>
    <t>с. Острожець, вул. Терешкової</t>
  </si>
  <si>
    <t>с.  Верхівськ, вул. Воїнів інтернаціоналістів</t>
  </si>
  <si>
    <t>с. Зоря, вул. Будьонного</t>
  </si>
  <si>
    <t>с. Грушвиця Перша, вул. Гагаріна</t>
  </si>
  <si>
    <t>с. Корнин, вул. О.Ольжича</t>
  </si>
  <si>
    <t>смт  Томашгород, вул.  1 Травня</t>
  </si>
  <si>
    <t>с.  Кам'яне, вул.  Перспективна</t>
  </si>
  <si>
    <t xml:space="preserve">с.  Березове, вул.  Білоруська </t>
  </si>
  <si>
    <t>с.  Березове, вул.  Перспективна</t>
  </si>
  <si>
    <t xml:space="preserve">с.  Березове, вул.  Центральна </t>
  </si>
  <si>
    <t>с.  Блажове, вул.  Борисовця</t>
  </si>
  <si>
    <t>с.  Блажове, вул.  Грушевського</t>
  </si>
  <si>
    <t>с.  Залав'я, вул.  Грушевського</t>
  </si>
  <si>
    <t>с.  Старе Село, вул. Кармелюка</t>
  </si>
  <si>
    <t>с. Нетреба, вул.  Перспективна</t>
  </si>
  <si>
    <t>с.  Блажове, вул.  Забарська</t>
  </si>
  <si>
    <t>с.  Лісове, вул.  Біля дуба</t>
  </si>
  <si>
    <t>с.  Глинне, вул.  Зарічненська</t>
  </si>
  <si>
    <t>с.  Блажове, вул.  Проектна</t>
  </si>
  <si>
    <t>с.  Познань, вул.  8 Березня</t>
  </si>
  <si>
    <t>с. Велике Вербче, вул. Садова</t>
  </si>
  <si>
    <t>с. Тріскині, вул. Б.Хмельницького</t>
  </si>
  <si>
    <r>
      <t xml:space="preserve">власні кошти забудовників, </t>
    </r>
    <r>
      <rPr>
        <b/>
        <sz val="12"/>
        <color indexed="8"/>
        <rFont val="Arial"/>
        <family val="2"/>
      </rPr>
      <t>40 %</t>
    </r>
  </si>
  <si>
    <r>
      <t xml:space="preserve">кошти обласного бюджету, </t>
    </r>
    <r>
      <rPr>
        <b/>
        <sz val="12"/>
        <color indexed="8"/>
        <rFont val="Arial"/>
        <family val="2"/>
      </rPr>
      <t>20 %</t>
    </r>
  </si>
  <si>
    <t xml:space="preserve"> -</t>
  </si>
  <si>
    <t xml:space="preserve"> </t>
  </si>
  <si>
    <t>с. Селець, вул. Тополева, вул. 30-річчя Героїв Крутів</t>
  </si>
  <si>
    <t xml:space="preserve">III     </t>
  </si>
  <si>
    <t>с. Зелень, вул. Польова</t>
  </si>
  <si>
    <t xml:space="preserve">III       </t>
  </si>
  <si>
    <t>с. Переброди, вул. Зарічна</t>
  </si>
  <si>
    <t>с. Бережки, вул. Шевченка</t>
  </si>
  <si>
    <t>с. Осова, вул. Молодіжна</t>
  </si>
  <si>
    <t>с. Орв'яниця, вул. Трусколка</t>
  </si>
  <si>
    <t>ПЛ 10 кВ Зарічне-Іванчиці відповідно до ТУ на підключення масиву "Старий аеропорт"</t>
  </si>
  <si>
    <t>с. Здовбиця, вул.Селедчина</t>
  </si>
  <si>
    <t>с. Дивень, вул. Нова</t>
  </si>
  <si>
    <t>с. Старий Корець, вул. Миру</t>
  </si>
  <si>
    <t>с. Новий Корець (хутір під с. Калинівка)</t>
  </si>
  <si>
    <t>с. Опарипси, вул. Незалежності</t>
  </si>
  <si>
    <t>смт Рокитне, вулиці П.Щедріна, Загірська, Волинська, Монастирська</t>
  </si>
  <si>
    <t>с. Цепцевичі, вул. Тополева</t>
  </si>
  <si>
    <t>смт Клесів, вул. Я.Мудрого</t>
  </si>
  <si>
    <t>с. Тинне, вул. Вереснева та пров. Вишневий</t>
  </si>
  <si>
    <t>с. Кричильськ, хутір "Запілля"</t>
  </si>
  <si>
    <t>150.0</t>
  </si>
  <si>
    <t>с. Звіздівка, вул. Молодіжна</t>
  </si>
  <si>
    <t>с. Біла Криниця, вул. Приміська</t>
  </si>
  <si>
    <t>до Програми</t>
  </si>
  <si>
    <t xml:space="preserve"> с. Яцьковичі, вулиці Поліська, Петра Стрільця, Садова, Сільська</t>
  </si>
  <si>
    <t>с. Поляни, вул. Лісова</t>
  </si>
  <si>
    <t xml:space="preserve"> с.  Богуші,  вул. Підлісся       </t>
  </si>
  <si>
    <t xml:space="preserve"> с.  Богуші,  вул. Садова </t>
  </si>
  <si>
    <t xml:space="preserve"> с. Богуші,  вул. Набережна</t>
  </si>
  <si>
    <t>с. Вітковичі, вулиці Нова, Миру, Колгоспна, провулок Колгоспний</t>
  </si>
  <si>
    <t xml:space="preserve">с. Малинськ,  вулиці  Поштова, Зелена, Тиха                                    </t>
  </si>
  <si>
    <t>с. Малинськ,  вул. Вереснева</t>
  </si>
  <si>
    <t>с. Бистричі, вул. Шевченка</t>
  </si>
  <si>
    <t>Всього по району за 2012 - 2015 роки</t>
  </si>
  <si>
    <t>Всього по району за  2012 - 2015 роки</t>
  </si>
  <si>
    <t>одиниць</t>
  </si>
  <si>
    <t>новозбудованих (запланованих до будівництва протягом 2012 - 2015 років) вулиць СНП</t>
  </si>
  <si>
    <t>с. Дубки, 1 етап - електрифікація південної частини села (район вулиць Залізнична, Меліоративна, Шевченка)</t>
  </si>
  <si>
    <t>с. Дубки, 2 етап - електрифікація південної частини села (район вулиць Залізнична, Меліоративна, Шевченка)</t>
  </si>
  <si>
    <t>хутір Грабина (Ремчицька сільська рада)</t>
  </si>
  <si>
    <t>хутір Ковалів Ріг (Стрільська сільська рада)</t>
  </si>
  <si>
    <t xml:space="preserve">с. Степангород, вулиці Поліська, Івана Франка (виготовлена проектно-кошторисна документація) </t>
  </si>
  <si>
    <t>с. Степангород, вул. Вишнева</t>
  </si>
  <si>
    <t>смт Томашгород, вул. Леніна та вул. Покровська (Томашгородська селищна рада)</t>
  </si>
  <si>
    <t>с.  Будки - Кам'янські, вул.  Перспективна</t>
  </si>
  <si>
    <t>с.  Рокитне, вул.  Заграддя (вулиці Дібровна, Святкова, Княгині Ольги)</t>
  </si>
  <si>
    <t>Додаток 3</t>
  </si>
  <si>
    <t>Додаток 4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</si>
</sst>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422]d\ mmmm\ yyyy&quot; р.&quot;"/>
    <numFmt numFmtId="175" formatCode="_-* #,##0.000\ &quot;грн.&quot;_-;\-* #,##0.000\ &quot;грн.&quot;_-;_-* &quot;-&quot;??\ &quot;грн.&quot;_-;_-@_-"/>
    <numFmt numFmtId="176" formatCode="_-* #,##0.0\ &quot;грн.&quot;_-;\-* #,##0.0\ &quot;грн.&quot;_-;_-* &quot;-&quot;??\ &quot;грн.&quot;_-;_-@_-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[$-FC19]d\ mmmm\ yyyy\ &quot;г.&quot;"/>
    <numFmt numFmtId="186" formatCode="_-* #,##0\ _г_р_н_._-;\-* #,##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4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i/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Arial"/>
      <family val="2"/>
    </font>
    <font>
      <sz val="26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2" fontId="23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84" fontId="26" fillId="0" borderId="10" xfId="58" applyNumberFormat="1" applyFont="1" applyBorder="1" applyAlignment="1">
      <alignment vertical="center" wrapText="1"/>
    </xf>
    <xf numFmtId="184" fontId="21" fillId="0" borderId="10" xfId="58" applyNumberFormat="1" applyFont="1" applyBorder="1" applyAlignment="1">
      <alignment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2" fontId="26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6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vertical="top" wrapText="1"/>
    </xf>
    <xf numFmtId="0" fontId="29" fillId="0" borderId="0" xfId="0" applyFont="1" applyAlignment="1">
      <alignment/>
    </xf>
    <xf numFmtId="172" fontId="26" fillId="24" borderId="10" xfId="0" applyNumberFormat="1" applyFont="1" applyFill="1" applyBorder="1" applyAlignment="1">
      <alignment horizontal="center" vertical="top" wrapText="1"/>
    </xf>
    <xf numFmtId="184" fontId="26" fillId="24" borderId="10" xfId="58" applyNumberFormat="1" applyFont="1" applyFill="1" applyBorder="1" applyAlignment="1">
      <alignment vertical="top" wrapText="1"/>
    </xf>
    <xf numFmtId="2" fontId="23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86" fontId="21" fillId="0" borderId="10" xfId="58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top" wrapText="1"/>
    </xf>
    <xf numFmtId="1" fontId="28" fillId="24" borderId="10" xfId="0" applyNumberFormat="1" applyFont="1" applyFill="1" applyBorder="1" applyAlignment="1">
      <alignment horizontal="center" vertical="top" wrapText="1"/>
    </xf>
    <xf numFmtId="2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1" fontId="28" fillId="0" borderId="10" xfId="0" applyNumberFormat="1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72" fontId="28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1" fontId="23" fillId="0" borderId="10" xfId="0" applyNumberFormat="1" applyFont="1" applyBorder="1" applyAlignment="1">
      <alignment horizontal="center" vertical="center"/>
    </xf>
    <xf numFmtId="172" fontId="22" fillId="0" borderId="0" xfId="0" applyNumberFormat="1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72" fontId="31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14" fontId="32" fillId="0" borderId="14" xfId="0" applyNumberFormat="1" applyFont="1" applyBorder="1" applyAlignment="1">
      <alignment horizontal="center" wrapText="1"/>
    </xf>
    <xf numFmtId="1" fontId="32" fillId="0" borderId="14" xfId="0" applyNumberFormat="1" applyFont="1" applyBorder="1" applyAlignment="1">
      <alignment horizontal="center"/>
    </xf>
    <xf numFmtId="1" fontId="32" fillId="0" borderId="15" xfId="0" applyNumberFormat="1" applyFont="1" applyBorder="1" applyAlignment="1">
      <alignment horizontal="center"/>
    </xf>
    <xf numFmtId="1" fontId="32" fillId="0" borderId="16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" fontId="32" fillId="0" borderId="17" xfId="0" applyNumberFormat="1" applyFont="1" applyBorder="1" applyAlignment="1">
      <alignment horizontal="center"/>
    </xf>
    <xf numFmtId="1" fontId="32" fillId="0" borderId="18" xfId="0" applyNumberFormat="1" applyFont="1" applyBorder="1" applyAlignment="1">
      <alignment horizontal="center"/>
    </xf>
    <xf numFmtId="172" fontId="31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1" fontId="32" fillId="0" borderId="21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" fontId="32" fillId="0" borderId="22" xfId="0" applyNumberFormat="1" applyFont="1" applyBorder="1" applyAlignment="1">
      <alignment horizontal="center"/>
    </xf>
    <xf numFmtId="1" fontId="32" fillId="0" borderId="23" xfId="0" applyNumberFormat="1" applyFont="1" applyBorder="1" applyAlignment="1">
      <alignment horizontal="center"/>
    </xf>
    <xf numFmtId="1" fontId="32" fillId="0" borderId="24" xfId="0" applyNumberFormat="1" applyFont="1" applyBorder="1" applyAlignment="1">
      <alignment horizontal="center"/>
    </xf>
    <xf numFmtId="14" fontId="32" fillId="0" borderId="17" xfId="0" applyNumberFormat="1" applyFont="1" applyBorder="1" applyAlignment="1">
      <alignment horizontal="center" wrapText="1"/>
    </xf>
    <xf numFmtId="1" fontId="32" fillId="0" borderId="25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1" fontId="32" fillId="0" borderId="13" xfId="0" applyNumberFormat="1" applyFont="1" applyBorder="1" applyAlignment="1">
      <alignment horizontal="center"/>
    </xf>
    <xf numFmtId="1" fontId="32" fillId="0" borderId="26" xfId="0" applyNumberFormat="1" applyFont="1" applyBorder="1" applyAlignment="1">
      <alignment horizontal="center"/>
    </xf>
    <xf numFmtId="1" fontId="32" fillId="0" borderId="27" xfId="0" applyNumberFormat="1" applyFont="1" applyBorder="1" applyAlignment="1">
      <alignment horizontal="center"/>
    </xf>
    <xf numFmtId="14" fontId="33" fillId="0" borderId="14" xfId="0" applyNumberFormat="1" applyFont="1" applyBorder="1" applyAlignment="1">
      <alignment horizontal="center" wrapText="1"/>
    </xf>
    <xf numFmtId="1" fontId="33" fillId="0" borderId="14" xfId="0" applyNumberFormat="1" applyFont="1" applyBorder="1" applyAlignment="1">
      <alignment horizontal="center"/>
    </xf>
    <xf numFmtId="1" fontId="33" fillId="0" borderId="15" xfId="0" applyNumberFormat="1" applyFont="1" applyBorder="1" applyAlignment="1">
      <alignment horizontal="center"/>
    </xf>
    <xf numFmtId="1" fontId="33" fillId="0" borderId="16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/>
    </xf>
    <xf numFmtId="1" fontId="33" fillId="0" borderId="18" xfId="0" applyNumberFormat="1" applyFont="1" applyBorder="1" applyAlignment="1">
      <alignment horizontal="center"/>
    </xf>
    <xf numFmtId="1" fontId="33" fillId="0" borderId="21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1" fontId="33" fillId="0" borderId="12" xfId="0" applyNumberFormat="1" applyFont="1" applyBorder="1" applyAlignment="1">
      <alignment horizontal="center"/>
    </xf>
    <xf numFmtId="1" fontId="33" fillId="0" borderId="23" xfId="0" applyNumberFormat="1" applyFont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3" fillId="5" borderId="10" xfId="0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4" fontId="33" fillId="0" borderId="14" xfId="0" applyNumberFormat="1" applyFont="1" applyBorder="1" applyAlignment="1">
      <alignment horizontal="center" vertical="center" wrapText="1"/>
    </xf>
    <xf numFmtId="14" fontId="33" fillId="0" borderId="13" xfId="0" applyNumberFormat="1" applyFont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9"/>
  <sheetViews>
    <sheetView showGridLines="0" view="pageBreakPreview" zoomScaleNormal="70" zoomScaleSheetLayoutView="100" zoomScalePageLayoutView="5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25" sqref="D25"/>
    </sheetView>
  </sheetViews>
  <sheetFormatPr defaultColWidth="9.140625" defaultRowHeight="15" outlineLevelRow="2"/>
  <cols>
    <col min="1" max="1" width="13.8515625" style="11" customWidth="1"/>
    <col min="2" max="2" width="10.140625" style="4" customWidth="1"/>
    <col min="3" max="3" width="12.140625" style="4" customWidth="1"/>
    <col min="4" max="4" width="11.421875" style="4" customWidth="1"/>
    <col min="5" max="5" width="11.7109375" style="4" customWidth="1"/>
    <col min="6" max="6" width="10.8515625" style="4" customWidth="1"/>
    <col min="7" max="7" width="9.421875" style="4" customWidth="1"/>
    <col min="8" max="8" width="11.140625" style="4" customWidth="1"/>
    <col min="9" max="9" width="10.57421875" style="4" customWidth="1"/>
    <col min="10" max="10" width="9.140625" style="4" customWidth="1"/>
    <col min="11" max="11" width="11.28125" style="4" customWidth="1"/>
    <col min="12" max="12" width="11.00390625" style="4" customWidth="1"/>
    <col min="13" max="13" width="10.57421875" style="4" customWidth="1"/>
    <col min="14" max="14" width="11.421875" style="4" customWidth="1"/>
    <col min="15" max="15" width="12.140625" style="4" customWidth="1"/>
    <col min="16" max="16" width="9.140625" style="4" customWidth="1"/>
    <col min="17" max="17" width="10.7109375" style="4" customWidth="1"/>
    <col min="18" max="18" width="15.00390625" style="4" customWidth="1"/>
    <col min="19" max="19" width="13.8515625" style="4" customWidth="1"/>
    <col min="20" max="20" width="14.421875" style="4" customWidth="1"/>
    <col min="21" max="21" width="16.00390625" style="4" customWidth="1"/>
    <col min="22" max="22" width="15.421875" style="4" customWidth="1"/>
    <col min="23" max="23" width="14.00390625" style="4" customWidth="1"/>
    <col min="24" max="24" width="13.8515625" style="4" customWidth="1"/>
    <col min="25" max="25" width="13.57421875" style="4" customWidth="1"/>
    <col min="26" max="16384" width="9.140625" style="4" customWidth="1"/>
  </cols>
  <sheetData>
    <row r="1" spans="23:24" s="84" customFormat="1" ht="18" customHeight="1">
      <c r="W1" s="174" t="s">
        <v>746</v>
      </c>
      <c r="X1" s="174"/>
    </row>
    <row r="2" spans="21:24" ht="18">
      <c r="U2" s="4" t="s">
        <v>699</v>
      </c>
      <c r="W2" s="114" t="s">
        <v>722</v>
      </c>
      <c r="X2" s="114"/>
    </row>
    <row r="4" spans="1:27" ht="18">
      <c r="A4" s="142" t="s">
        <v>414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Z4" s="4">
        <f>1</f>
        <v>1</v>
      </c>
      <c r="AA4" s="4">
        <f>12</f>
        <v>12</v>
      </c>
    </row>
    <row r="5" spans="1:27" ht="12.75" customHeight="1">
      <c r="A5" s="143" t="s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Z5" s="4">
        <f>3</f>
        <v>3</v>
      </c>
      <c r="AA5" s="4">
        <f>8.44</f>
        <v>8.44</v>
      </c>
    </row>
    <row r="6" spans="1:27" ht="12.75" customHeight="1">
      <c r="A6" s="173" t="s">
        <v>0</v>
      </c>
      <c r="B6" s="173" t="s">
        <v>481</v>
      </c>
      <c r="C6" s="173"/>
      <c r="D6" s="173" t="s">
        <v>415</v>
      </c>
      <c r="E6" s="173"/>
      <c r="F6" s="173"/>
      <c r="G6" s="173"/>
      <c r="H6" s="173"/>
      <c r="I6" s="173"/>
      <c r="J6" s="173"/>
      <c r="K6" s="173"/>
      <c r="L6" s="173"/>
      <c r="M6" s="173" t="s">
        <v>104</v>
      </c>
      <c r="N6" s="173"/>
      <c r="O6" s="173" t="s">
        <v>523</v>
      </c>
      <c r="P6" s="173" t="s">
        <v>415</v>
      </c>
      <c r="Q6" s="173"/>
      <c r="R6" s="173" t="s">
        <v>416</v>
      </c>
      <c r="S6" s="175" t="s">
        <v>415</v>
      </c>
      <c r="T6" s="175"/>
      <c r="U6" s="175"/>
      <c r="V6" s="175"/>
      <c r="W6" s="175"/>
      <c r="X6" s="175"/>
      <c r="Z6" s="4">
        <f>6</f>
        <v>6</v>
      </c>
      <c r="AA6" s="4">
        <f>7.06</f>
        <v>7.06</v>
      </c>
    </row>
    <row r="7" spans="1:27" ht="55.5" customHeight="1">
      <c r="A7" s="173"/>
      <c r="B7" s="173"/>
      <c r="C7" s="173"/>
      <c r="D7" s="173" t="s">
        <v>417</v>
      </c>
      <c r="E7" s="173"/>
      <c r="F7" s="173"/>
      <c r="G7" s="173" t="s">
        <v>418</v>
      </c>
      <c r="H7" s="173"/>
      <c r="I7" s="173"/>
      <c r="J7" s="173" t="s">
        <v>419</v>
      </c>
      <c r="K7" s="173"/>
      <c r="L7" s="173"/>
      <c r="M7" s="173"/>
      <c r="N7" s="173"/>
      <c r="O7" s="173"/>
      <c r="P7" s="173" t="s">
        <v>420</v>
      </c>
      <c r="Q7" s="173"/>
      <c r="R7" s="173"/>
      <c r="S7" s="175" t="s">
        <v>417</v>
      </c>
      <c r="T7" s="175"/>
      <c r="U7" s="175"/>
      <c r="V7" s="175"/>
      <c r="W7" s="1" t="s">
        <v>418</v>
      </c>
      <c r="X7" s="1" t="s">
        <v>478</v>
      </c>
      <c r="Z7" s="4">
        <f>9</f>
        <v>9</v>
      </c>
      <c r="AA7" s="4">
        <f>5.81</f>
        <v>5.81</v>
      </c>
    </row>
    <row r="8" spans="1:27" ht="47.25" customHeight="1">
      <c r="A8" s="173"/>
      <c r="B8" s="1" t="s">
        <v>479</v>
      </c>
      <c r="C8" s="1" t="s">
        <v>480</v>
      </c>
      <c r="D8" s="1" t="s">
        <v>421</v>
      </c>
      <c r="E8" s="1" t="s">
        <v>422</v>
      </c>
      <c r="F8" s="173" t="s">
        <v>423</v>
      </c>
      <c r="G8" s="1" t="s">
        <v>421</v>
      </c>
      <c r="H8" s="1" t="s">
        <v>422</v>
      </c>
      <c r="I8" s="173" t="s">
        <v>423</v>
      </c>
      <c r="J8" s="1" t="s">
        <v>421</v>
      </c>
      <c r="K8" s="1" t="s">
        <v>422</v>
      </c>
      <c r="L8" s="173" t="s">
        <v>423</v>
      </c>
      <c r="M8" s="173" t="s">
        <v>424</v>
      </c>
      <c r="N8" s="173" t="s">
        <v>425</v>
      </c>
      <c r="O8" s="173"/>
      <c r="P8" s="1" t="s">
        <v>421</v>
      </c>
      <c r="Q8" s="1" t="s">
        <v>422</v>
      </c>
      <c r="R8" s="173"/>
      <c r="S8" s="1" t="s">
        <v>696</v>
      </c>
      <c r="T8" s="1" t="s">
        <v>697</v>
      </c>
      <c r="U8" s="1" t="s">
        <v>482</v>
      </c>
      <c r="V8" s="1" t="s">
        <v>483</v>
      </c>
      <c r="W8" s="1" t="s">
        <v>484</v>
      </c>
      <c r="X8" s="1" t="s">
        <v>484</v>
      </c>
      <c r="Z8" s="4">
        <f>12</f>
        <v>12</v>
      </c>
      <c r="AA8" s="4">
        <f>4.96</f>
        <v>4.96</v>
      </c>
    </row>
    <row r="9" spans="1:27" ht="30">
      <c r="A9" s="173"/>
      <c r="B9" s="1" t="s">
        <v>734</v>
      </c>
      <c r="C9" s="1" t="s">
        <v>426</v>
      </c>
      <c r="D9" s="1" t="s">
        <v>734</v>
      </c>
      <c r="E9" s="2" t="s">
        <v>426</v>
      </c>
      <c r="F9" s="173"/>
      <c r="G9" s="1" t="s">
        <v>734</v>
      </c>
      <c r="H9" s="2" t="s">
        <v>426</v>
      </c>
      <c r="I9" s="173"/>
      <c r="J9" s="1" t="s">
        <v>734</v>
      </c>
      <c r="K9" s="2" t="s">
        <v>426</v>
      </c>
      <c r="L9" s="173"/>
      <c r="M9" s="173"/>
      <c r="N9" s="173"/>
      <c r="O9" s="3" t="s">
        <v>427</v>
      </c>
      <c r="P9" s="1" t="s">
        <v>734</v>
      </c>
      <c r="Q9" s="2" t="s">
        <v>427</v>
      </c>
      <c r="R9" s="2" t="s">
        <v>486</v>
      </c>
      <c r="S9" s="2" t="s">
        <v>486</v>
      </c>
      <c r="T9" s="2" t="s">
        <v>486</v>
      </c>
      <c r="U9" s="2" t="s">
        <v>486</v>
      </c>
      <c r="V9" s="2" t="s">
        <v>486</v>
      </c>
      <c r="W9" s="2" t="s">
        <v>486</v>
      </c>
      <c r="X9" s="2" t="s">
        <v>486</v>
      </c>
      <c r="Z9" s="4">
        <f>15</f>
        <v>15</v>
      </c>
      <c r="AA9" s="4">
        <f>4.34</f>
        <v>4.34</v>
      </c>
    </row>
    <row r="10" spans="1:27" ht="18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Z10" s="4">
        <f>18</f>
        <v>18</v>
      </c>
      <c r="AA10" s="4">
        <f>3.92</f>
        <v>3.92</v>
      </c>
    </row>
    <row r="11" spans="1:27" ht="12.75" customHeight="1">
      <c r="A11" s="161" t="s">
        <v>467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Z11" s="4">
        <f>24</f>
        <v>24</v>
      </c>
      <c r="AA11" s="4">
        <f>3.35</f>
        <v>3.35</v>
      </c>
    </row>
    <row r="12" spans="1:27" ht="12.75" customHeight="1" outlineLevel="1">
      <c r="A12" s="161" t="s">
        <v>430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Z12" s="4">
        <f>40</f>
        <v>40</v>
      </c>
      <c r="AA12" s="4">
        <f>2.66</f>
        <v>2.66</v>
      </c>
    </row>
    <row r="13" spans="1:27" ht="12.75" customHeight="1" outlineLevel="2">
      <c r="A13" s="170">
        <v>1</v>
      </c>
      <c r="B13" s="162" t="s">
        <v>524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Z13" s="4">
        <f>60</f>
        <v>60</v>
      </c>
      <c r="AA13" s="4">
        <f>2.38</f>
        <v>2.38</v>
      </c>
    </row>
    <row r="14" spans="1:27" ht="18" outlineLevel="2">
      <c r="A14" s="170"/>
      <c r="B14" s="5">
        <f>D14+G14+J14</f>
        <v>92</v>
      </c>
      <c r="C14" s="8">
        <f>E14+H14+K14</f>
        <v>202.76800000000003</v>
      </c>
      <c r="D14" s="5">
        <v>92</v>
      </c>
      <c r="E14" s="8">
        <f>D14*FORECAST(D14,AA13:AA14,Z13:Z14)</f>
        <v>202.76800000000003</v>
      </c>
      <c r="F14" s="5" t="s">
        <v>433</v>
      </c>
      <c r="G14" s="5"/>
      <c r="H14" s="5"/>
      <c r="I14" s="5"/>
      <c r="J14" s="5"/>
      <c r="K14" s="5"/>
      <c r="L14" s="5"/>
      <c r="M14" s="5"/>
      <c r="N14" s="5">
        <v>2800</v>
      </c>
      <c r="O14" s="5">
        <f>C14/0.92</f>
        <v>220.40000000000003</v>
      </c>
      <c r="P14" s="5">
        <v>2</v>
      </c>
      <c r="Q14" s="5">
        <f>300</f>
        <v>300</v>
      </c>
      <c r="R14" s="8">
        <f>1.454*C14</f>
        <v>294.824672</v>
      </c>
      <c r="S14" s="9">
        <f>E14*1.454*0.4</f>
        <v>117.92986880000001</v>
      </c>
      <c r="T14" s="9">
        <f>E14*1.454*0.2</f>
        <v>58.964934400000004</v>
      </c>
      <c r="U14" s="9">
        <f>E14*1.454*0.2</f>
        <v>58.964934400000004</v>
      </c>
      <c r="V14" s="9">
        <f>E14*1.454*0.2</f>
        <v>58.964934400000004</v>
      </c>
      <c r="W14" s="9">
        <f>H14*1.454</f>
        <v>0</v>
      </c>
      <c r="X14" s="9">
        <f>K14*1.454</f>
        <v>0</v>
      </c>
      <c r="Y14" s="4">
        <f>U14*2</f>
        <v>117.92986880000001</v>
      </c>
      <c r="Z14" s="4">
        <f>100</f>
        <v>100</v>
      </c>
      <c r="AA14" s="4">
        <f>2.16</f>
        <v>2.16</v>
      </c>
    </row>
    <row r="15" spans="1:27" ht="12.75" customHeight="1" outlineLevel="2">
      <c r="A15" s="170">
        <v>2</v>
      </c>
      <c r="B15" s="162" t="s">
        <v>413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4">
        <f aca="true" t="shared" si="0" ref="Y15:Y110">U15*2</f>
        <v>0</v>
      </c>
      <c r="Z15" s="4">
        <f>200</f>
        <v>200</v>
      </c>
      <c r="AA15" s="4">
        <f>1.96</f>
        <v>1.96</v>
      </c>
    </row>
    <row r="16" spans="1:25" ht="18" outlineLevel="2">
      <c r="A16" s="170"/>
      <c r="B16" s="5">
        <f>D16+G16+J16</f>
        <v>64</v>
      </c>
      <c r="C16" s="8">
        <f>E16+H16+K16</f>
        <v>150.912</v>
      </c>
      <c r="D16" s="5">
        <v>64</v>
      </c>
      <c r="E16" s="8">
        <f>D16*FORECAST(D16,AA13:AA14,Z13:Z14)</f>
        <v>150.912</v>
      </c>
      <c r="F16" s="5" t="s">
        <v>433</v>
      </c>
      <c r="G16" s="5"/>
      <c r="H16" s="5"/>
      <c r="I16" s="5"/>
      <c r="J16" s="5"/>
      <c r="K16" s="5"/>
      <c r="L16" s="5"/>
      <c r="M16" s="5"/>
      <c r="N16" s="5">
        <v>1920</v>
      </c>
      <c r="O16" s="8">
        <f>C16/0.92</f>
        <v>164.03478260869565</v>
      </c>
      <c r="P16" s="5">
        <v>1</v>
      </c>
      <c r="Q16" s="5">
        <v>150</v>
      </c>
      <c r="R16" s="8">
        <f>1.454*C16</f>
        <v>219.426048</v>
      </c>
      <c r="S16" s="9">
        <f>E16*1.454*0.4</f>
        <v>87.7704192</v>
      </c>
      <c r="T16" s="9">
        <f>E16*1.454*0.2</f>
        <v>43.8852096</v>
      </c>
      <c r="U16" s="9">
        <f>E16*1.454*0.2</f>
        <v>43.8852096</v>
      </c>
      <c r="V16" s="9">
        <f>E16*1.454*0.2</f>
        <v>43.8852096</v>
      </c>
      <c r="W16" s="9">
        <f>H16*1.454</f>
        <v>0</v>
      </c>
      <c r="X16" s="9">
        <f>K16*1.454</f>
        <v>0</v>
      </c>
      <c r="Y16" s="4">
        <f t="shared" si="0"/>
        <v>87.7704192</v>
      </c>
    </row>
    <row r="17" spans="1:25" ht="36" outlineLevel="2">
      <c r="A17" s="6" t="s">
        <v>431</v>
      </c>
      <c r="B17" s="7">
        <f>B14+B16</f>
        <v>156</v>
      </c>
      <c r="C17" s="10">
        <f aca="true" t="shared" si="1" ref="C17:X17">C14+C16</f>
        <v>353.68000000000006</v>
      </c>
      <c r="D17" s="7">
        <f t="shared" si="1"/>
        <v>156</v>
      </c>
      <c r="E17" s="10">
        <f t="shared" si="1"/>
        <v>353.68000000000006</v>
      </c>
      <c r="F17" s="7" t="s">
        <v>433</v>
      </c>
      <c r="G17" s="7">
        <f t="shared" si="1"/>
        <v>0</v>
      </c>
      <c r="H17" s="7">
        <f t="shared" si="1"/>
        <v>0</v>
      </c>
      <c r="I17" s="7" t="s">
        <v>441</v>
      </c>
      <c r="J17" s="7">
        <f t="shared" si="1"/>
        <v>0</v>
      </c>
      <c r="K17" s="7">
        <f t="shared" si="1"/>
        <v>0</v>
      </c>
      <c r="L17" s="7" t="s">
        <v>441</v>
      </c>
      <c r="M17" s="7">
        <f t="shared" si="1"/>
        <v>0</v>
      </c>
      <c r="N17" s="7">
        <f t="shared" si="1"/>
        <v>4720</v>
      </c>
      <c r="O17" s="10">
        <f t="shared" si="1"/>
        <v>384.4347826086957</v>
      </c>
      <c r="P17" s="7">
        <f t="shared" si="1"/>
        <v>3</v>
      </c>
      <c r="Q17" s="7">
        <f t="shared" si="1"/>
        <v>450</v>
      </c>
      <c r="R17" s="10">
        <f t="shared" si="1"/>
        <v>514.25072</v>
      </c>
      <c r="S17" s="10">
        <f>S14+S16</f>
        <v>205.700288</v>
      </c>
      <c r="T17" s="10">
        <f t="shared" si="1"/>
        <v>102.850144</v>
      </c>
      <c r="U17" s="10">
        <f t="shared" si="1"/>
        <v>102.850144</v>
      </c>
      <c r="V17" s="10">
        <f t="shared" si="1"/>
        <v>102.850144</v>
      </c>
      <c r="W17" s="10">
        <f t="shared" si="1"/>
        <v>0</v>
      </c>
      <c r="X17" s="10">
        <f t="shared" si="1"/>
        <v>0</v>
      </c>
      <c r="Y17" s="4">
        <f t="shared" si="0"/>
        <v>205.700288</v>
      </c>
    </row>
    <row r="18" spans="1:25" s="11" customFormat="1" ht="12.75" customHeight="1" outlineLevel="2">
      <c r="A18" s="170">
        <v>1</v>
      </c>
      <c r="B18" s="162" t="s">
        <v>533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4">
        <f t="shared" si="0"/>
        <v>0</v>
      </c>
    </row>
    <row r="19" spans="1:25" s="11" customFormat="1" ht="18" outlineLevel="2">
      <c r="A19" s="170"/>
      <c r="B19" s="5">
        <f>D19+G19+J19</f>
        <v>36</v>
      </c>
      <c r="C19" s="8">
        <f>E19+H19+K19</f>
        <v>101.97</v>
      </c>
      <c r="D19" s="5">
        <v>36</v>
      </c>
      <c r="E19" s="8">
        <f>D19*FORECAST(D19,AA11:AA12,Z11:Z12)</f>
        <v>101.97</v>
      </c>
      <c r="F19" s="5" t="s">
        <v>433</v>
      </c>
      <c r="G19" s="5"/>
      <c r="H19" s="5"/>
      <c r="I19" s="5"/>
      <c r="J19" s="5"/>
      <c r="K19" s="5"/>
      <c r="L19" s="5"/>
      <c r="M19" s="5"/>
      <c r="N19" s="5">
        <v>1480</v>
      </c>
      <c r="O19" s="8">
        <f>C19/0.92</f>
        <v>110.83695652173913</v>
      </c>
      <c r="P19" s="5">
        <v>2</v>
      </c>
      <c r="Q19" s="5">
        <f>300</f>
        <v>300</v>
      </c>
      <c r="R19" s="8">
        <f>1.454*C19</f>
        <v>148.26438</v>
      </c>
      <c r="S19" s="9">
        <f>E19*1.454*0.4</f>
        <v>59.305752</v>
      </c>
      <c r="T19" s="9">
        <f>E19*1.454*0.2</f>
        <v>29.652876</v>
      </c>
      <c r="U19" s="9">
        <f>E19*1.454*0.2</f>
        <v>29.652876</v>
      </c>
      <c r="V19" s="9">
        <f>E19*1.454*0.2</f>
        <v>29.652876</v>
      </c>
      <c r="W19" s="9">
        <f>H19*1.454</f>
        <v>0</v>
      </c>
      <c r="X19" s="9">
        <f>K19*1.454</f>
        <v>0</v>
      </c>
      <c r="Y19" s="4">
        <f t="shared" si="0"/>
        <v>59.305752</v>
      </c>
    </row>
    <row r="20" spans="1:25" s="11" customFormat="1" ht="14.25" customHeight="1" outlineLevel="2">
      <c r="A20" s="170">
        <v>1</v>
      </c>
      <c r="B20" s="169" t="s">
        <v>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4">
        <f t="shared" si="0"/>
        <v>0</v>
      </c>
    </row>
    <row r="21" spans="1:25" s="11" customFormat="1" ht="18" outlineLevel="2">
      <c r="A21" s="170"/>
      <c r="B21" s="5">
        <f>D21+G21+J21</f>
        <v>20</v>
      </c>
      <c r="C21" s="5">
        <f>E21+H21+K21</f>
        <v>74.6</v>
      </c>
      <c r="D21" s="5">
        <f>20</f>
        <v>20</v>
      </c>
      <c r="E21" s="8">
        <f>D21*FORECAST(D21,AA10:AA11,Z10:Z11)</f>
        <v>74.6</v>
      </c>
      <c r="F21" s="5" t="s">
        <v>433</v>
      </c>
      <c r="G21" s="5"/>
      <c r="H21" s="5"/>
      <c r="I21" s="5"/>
      <c r="J21" s="5"/>
      <c r="K21" s="5"/>
      <c r="L21" s="5"/>
      <c r="M21" s="5">
        <f>2418</f>
        <v>2418</v>
      </c>
      <c r="N21" s="5">
        <f>1144</f>
        <v>1144</v>
      </c>
      <c r="O21" s="8">
        <f>C21/0.92</f>
        <v>81.08695652173913</v>
      </c>
      <c r="P21" s="5">
        <f>1</f>
        <v>1</v>
      </c>
      <c r="Q21" s="5">
        <f>100</f>
        <v>100</v>
      </c>
      <c r="R21" s="8">
        <f>1.454*C21</f>
        <v>108.46839999999999</v>
      </c>
      <c r="S21" s="9">
        <f>E21*1.454*0.4</f>
        <v>43.38736</v>
      </c>
      <c r="T21" s="9">
        <f>E21*1.454*0.2</f>
        <v>21.69368</v>
      </c>
      <c r="U21" s="9">
        <f>E21*1.454*0.2</f>
        <v>21.69368</v>
      </c>
      <c r="V21" s="9">
        <f>E21*1.454*0.2</f>
        <v>21.69368</v>
      </c>
      <c r="W21" s="9">
        <f>H21*1.454</f>
        <v>0</v>
      </c>
      <c r="X21" s="9">
        <f>K21*1.454</f>
        <v>0</v>
      </c>
      <c r="Y21" s="4">
        <f t="shared" si="0"/>
        <v>43.38736</v>
      </c>
    </row>
    <row r="22" spans="1:25" s="11" customFormat="1" ht="18.75" outlineLevel="2">
      <c r="A22" s="170">
        <v>1</v>
      </c>
      <c r="B22" s="162" t="s">
        <v>522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4">
        <f t="shared" si="0"/>
        <v>0</v>
      </c>
    </row>
    <row r="23" spans="1:25" s="11" customFormat="1" ht="18" outlineLevel="2">
      <c r="A23" s="170"/>
      <c r="B23" s="5">
        <f>D23+G23+J23</f>
        <v>24</v>
      </c>
      <c r="C23" s="5">
        <f>E23+H23+K23</f>
        <v>70</v>
      </c>
      <c r="D23" s="5">
        <v>24</v>
      </c>
      <c r="E23" s="8">
        <v>70</v>
      </c>
      <c r="F23" s="5" t="s">
        <v>433</v>
      </c>
      <c r="G23" s="5"/>
      <c r="H23" s="5"/>
      <c r="I23" s="5"/>
      <c r="J23" s="5"/>
      <c r="K23" s="5"/>
      <c r="L23" s="5"/>
      <c r="M23" s="5"/>
      <c r="N23" s="5">
        <v>885</v>
      </c>
      <c r="O23" s="8">
        <f>C23/0.92</f>
        <v>76.08695652173913</v>
      </c>
      <c r="P23" s="5">
        <v>1</v>
      </c>
      <c r="Q23" s="5">
        <v>100</v>
      </c>
      <c r="R23" s="8">
        <v>231.606</v>
      </c>
      <c r="S23" s="9">
        <f>R23*0.4</f>
        <v>92.64240000000001</v>
      </c>
      <c r="T23" s="9">
        <f>R23*0.2</f>
        <v>46.321200000000005</v>
      </c>
      <c r="U23" s="9">
        <f>R23*0.2</f>
        <v>46.321200000000005</v>
      </c>
      <c r="V23" s="9">
        <f>R23*0.2</f>
        <v>46.321200000000005</v>
      </c>
      <c r="W23" s="9">
        <v>0</v>
      </c>
      <c r="X23" s="9">
        <v>0</v>
      </c>
      <c r="Y23" s="4">
        <f t="shared" si="0"/>
        <v>92.64240000000001</v>
      </c>
    </row>
    <row r="24" spans="1:25" ht="15" customHeight="1" outlineLevel="2">
      <c r="A24" s="170">
        <v>1</v>
      </c>
      <c r="B24" s="162" t="s">
        <v>412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4">
        <f t="shared" si="0"/>
        <v>0</v>
      </c>
    </row>
    <row r="25" spans="1:25" ht="18" outlineLevel="2">
      <c r="A25" s="170"/>
      <c r="B25" s="5">
        <f>D25+G25+J25</f>
        <v>28</v>
      </c>
      <c r="C25" s="8">
        <f>E25+H25+K25</f>
        <v>88.97</v>
      </c>
      <c r="D25" s="5">
        <v>28</v>
      </c>
      <c r="E25" s="8">
        <f>D25*FORECAST(D25,AA11:AA12,Z11:Z12)</f>
        <v>88.97</v>
      </c>
      <c r="F25" s="5" t="s">
        <v>433</v>
      </c>
      <c r="G25" s="5"/>
      <c r="H25" s="5"/>
      <c r="I25" s="5"/>
      <c r="J25" s="5"/>
      <c r="K25" s="5"/>
      <c r="L25" s="5"/>
      <c r="M25" s="5"/>
      <c r="N25" s="5">
        <v>840</v>
      </c>
      <c r="O25" s="8">
        <f>C25/0.92</f>
        <v>96.70652173913042</v>
      </c>
      <c r="P25" s="5">
        <v>1</v>
      </c>
      <c r="Q25" s="5">
        <v>50</v>
      </c>
      <c r="R25" s="8">
        <f>1.454*C25</f>
        <v>129.36238</v>
      </c>
      <c r="S25" s="9">
        <f>E25*1.454*0.4</f>
        <v>51.744952000000005</v>
      </c>
      <c r="T25" s="9">
        <f>E25*1.454*0.2</f>
        <v>25.872476000000002</v>
      </c>
      <c r="U25" s="9">
        <f>E25*1.454*0.2</f>
        <v>25.872476000000002</v>
      </c>
      <c r="V25" s="9">
        <f>E25*1.454*0.2</f>
        <v>25.872476000000002</v>
      </c>
      <c r="W25" s="9">
        <f>H25*1.454</f>
        <v>0</v>
      </c>
      <c r="X25" s="9">
        <f>K25*1.454</f>
        <v>0</v>
      </c>
      <c r="Y25" s="4">
        <f t="shared" si="0"/>
        <v>51.744952000000005</v>
      </c>
    </row>
    <row r="26" spans="1:25" ht="12.75" customHeight="1" outlineLevel="2">
      <c r="A26" s="170">
        <v>1</v>
      </c>
      <c r="B26" s="162" t="s">
        <v>119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4">
        <f t="shared" si="0"/>
        <v>0</v>
      </c>
    </row>
    <row r="27" spans="1:25" ht="18" outlineLevel="2">
      <c r="A27" s="170"/>
      <c r="B27" s="5">
        <f>D27+G27+J27</f>
        <v>96</v>
      </c>
      <c r="C27" s="8">
        <f>E27+H27+K27</f>
        <v>209.47200000000004</v>
      </c>
      <c r="D27" s="5">
        <v>96</v>
      </c>
      <c r="E27" s="8">
        <f>D27*FORECAST(D27,AA13:AA14,Z13:Z14)</f>
        <v>209.47200000000004</v>
      </c>
      <c r="F27" s="5" t="s">
        <v>433</v>
      </c>
      <c r="G27" s="5"/>
      <c r="H27" s="5"/>
      <c r="I27" s="5"/>
      <c r="J27" s="5"/>
      <c r="K27" s="5"/>
      <c r="L27" s="5"/>
      <c r="M27" s="5"/>
      <c r="N27" s="5">
        <v>2880</v>
      </c>
      <c r="O27" s="8">
        <f>C27/0.92</f>
        <v>227.68695652173915</v>
      </c>
      <c r="P27" s="5">
        <v>2</v>
      </c>
      <c r="Q27" s="5">
        <f>200</f>
        <v>200</v>
      </c>
      <c r="R27" s="8">
        <f>1.454*C27</f>
        <v>304.57228800000007</v>
      </c>
      <c r="S27" s="9">
        <f>E27*1.454*0.4</f>
        <v>121.82891520000004</v>
      </c>
      <c r="T27" s="9">
        <f>E27*1.454*0.2</f>
        <v>60.91445760000002</v>
      </c>
      <c r="U27" s="9">
        <f>E27*1.454*0.2</f>
        <v>60.91445760000002</v>
      </c>
      <c r="V27" s="9">
        <f>E27*1.454*0.2</f>
        <v>60.91445760000002</v>
      </c>
      <c r="W27" s="9">
        <f>H27*1.454</f>
        <v>0</v>
      </c>
      <c r="X27" s="9">
        <f>K27*1.454</f>
        <v>0</v>
      </c>
      <c r="Y27" s="4">
        <f t="shared" si="0"/>
        <v>121.82891520000004</v>
      </c>
    </row>
    <row r="28" spans="1:25" ht="12.75" customHeight="1" outlineLevel="2">
      <c r="A28" s="170">
        <v>2</v>
      </c>
      <c r="B28" s="162" t="s">
        <v>120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4">
        <f t="shared" si="0"/>
        <v>0</v>
      </c>
    </row>
    <row r="29" spans="1:25" ht="18" outlineLevel="2">
      <c r="A29" s="170"/>
      <c r="B29" s="5">
        <f>D29+G29+J29</f>
        <v>12</v>
      </c>
      <c r="C29" s="8">
        <f>E29+H29+K29</f>
        <v>59.52000000000001</v>
      </c>
      <c r="D29" s="5">
        <v>12</v>
      </c>
      <c r="E29" s="8">
        <f>D29*FORECAST(D29,AA8:AA9,Z8:Z9)</f>
        <v>59.52000000000001</v>
      </c>
      <c r="F29" s="5" t="s">
        <v>433</v>
      </c>
      <c r="G29" s="5"/>
      <c r="H29" s="5"/>
      <c r="I29" s="5"/>
      <c r="J29" s="5"/>
      <c r="K29" s="5"/>
      <c r="L29" s="5"/>
      <c r="M29" s="5"/>
      <c r="N29" s="5">
        <v>300</v>
      </c>
      <c r="O29" s="8">
        <f>C29/0.92</f>
        <v>64.69565217391305</v>
      </c>
      <c r="P29" s="5">
        <v>1</v>
      </c>
      <c r="Q29" s="5">
        <v>50</v>
      </c>
      <c r="R29" s="8">
        <f>1.454*C29</f>
        <v>86.54208000000001</v>
      </c>
      <c r="S29" s="9">
        <f>E29*1.454*0.4</f>
        <v>34.61683200000001</v>
      </c>
      <c r="T29" s="9">
        <f>E29*1.454*0.2</f>
        <v>17.308416000000005</v>
      </c>
      <c r="U29" s="9">
        <f>E29*1.454*0.2</f>
        <v>17.308416000000005</v>
      </c>
      <c r="V29" s="9">
        <f>E29*1.454*0.2</f>
        <v>17.308416000000005</v>
      </c>
      <c r="W29" s="9">
        <f>H29*1.454</f>
        <v>0</v>
      </c>
      <c r="X29" s="9">
        <f>K29*1.454</f>
        <v>0</v>
      </c>
      <c r="Y29" s="4">
        <f t="shared" si="0"/>
        <v>34.61683200000001</v>
      </c>
    </row>
    <row r="30" spans="1:25" ht="12.75" customHeight="1" outlineLevel="2">
      <c r="A30" s="170">
        <v>3</v>
      </c>
      <c r="B30" s="162" t="s">
        <v>121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4">
        <f t="shared" si="0"/>
        <v>0</v>
      </c>
    </row>
    <row r="31" spans="1:25" ht="18" outlineLevel="2">
      <c r="A31" s="170"/>
      <c r="B31" s="5">
        <f>D31+G31+J31</f>
        <v>26</v>
      </c>
      <c r="C31" s="8">
        <f>E31+H31+K31</f>
        <v>84.8575</v>
      </c>
      <c r="D31" s="5">
        <v>26</v>
      </c>
      <c r="E31" s="8">
        <f>D31*FORECAST(D31,AA11:AA12,Z11:Z12)</f>
        <v>84.8575</v>
      </c>
      <c r="F31" s="5" t="s">
        <v>433</v>
      </c>
      <c r="G31" s="5"/>
      <c r="H31" s="5"/>
      <c r="I31" s="5"/>
      <c r="J31" s="5"/>
      <c r="K31" s="5"/>
      <c r="L31" s="5"/>
      <c r="M31" s="5"/>
      <c r="N31" s="5">
        <v>780</v>
      </c>
      <c r="O31" s="8">
        <f>C31/0.92</f>
        <v>92.23641304347827</v>
      </c>
      <c r="P31" s="5">
        <v>1</v>
      </c>
      <c r="Q31" s="5">
        <v>100</v>
      </c>
      <c r="R31" s="8">
        <f>1.454*C31</f>
        <v>123.382805</v>
      </c>
      <c r="S31" s="9">
        <f>E31*1.454*0.4</f>
        <v>49.353122000000006</v>
      </c>
      <c r="T31" s="9">
        <f>E31*1.454*0.2</f>
        <v>24.676561000000003</v>
      </c>
      <c r="U31" s="9">
        <f>E31*1.454*0.2</f>
        <v>24.676561000000003</v>
      </c>
      <c r="V31" s="9">
        <f>E31*1.454*0.2</f>
        <v>24.676561000000003</v>
      </c>
      <c r="W31" s="9">
        <f>H31*1.454</f>
        <v>0</v>
      </c>
      <c r="X31" s="9">
        <f>K31*1.454</f>
        <v>0</v>
      </c>
      <c r="Y31" s="4">
        <f t="shared" si="0"/>
        <v>49.353122000000006</v>
      </c>
    </row>
    <row r="32" spans="1:25" ht="36" outlineLevel="2">
      <c r="A32" s="6" t="s">
        <v>431</v>
      </c>
      <c r="B32" s="7">
        <f>B27+B29+B31</f>
        <v>134</v>
      </c>
      <c r="C32" s="10">
        <f>C27+C29+C31</f>
        <v>353.8495000000001</v>
      </c>
      <c r="D32" s="7">
        <f>D27+D29+D31</f>
        <v>134</v>
      </c>
      <c r="E32" s="10">
        <f>E27+E29+E31</f>
        <v>353.8495000000001</v>
      </c>
      <c r="F32" s="7" t="s">
        <v>433</v>
      </c>
      <c r="G32" s="7">
        <f>G27+G29+G31</f>
        <v>0</v>
      </c>
      <c r="H32" s="7">
        <f>H27+H29+H31</f>
        <v>0</v>
      </c>
      <c r="I32" s="7" t="s">
        <v>441</v>
      </c>
      <c r="J32" s="7">
        <f>J27+J29+J31</f>
        <v>0</v>
      </c>
      <c r="K32" s="7">
        <f>K27+K29+K31</f>
        <v>0</v>
      </c>
      <c r="L32" s="7" t="s">
        <v>441</v>
      </c>
      <c r="M32" s="7">
        <f aca="true" t="shared" si="2" ref="M32:R32">M27+M29+M31</f>
        <v>0</v>
      </c>
      <c r="N32" s="7">
        <f t="shared" si="2"/>
        <v>3960</v>
      </c>
      <c r="O32" s="10">
        <f t="shared" si="2"/>
        <v>384.61902173913046</v>
      </c>
      <c r="P32" s="7">
        <f t="shared" si="2"/>
        <v>4</v>
      </c>
      <c r="Q32" s="7">
        <f t="shared" si="2"/>
        <v>350</v>
      </c>
      <c r="R32" s="10">
        <f t="shared" si="2"/>
        <v>514.4971730000001</v>
      </c>
      <c r="S32" s="10">
        <f aca="true" t="shared" si="3" ref="S32:X32">S27+S29+S31</f>
        <v>205.79886920000007</v>
      </c>
      <c r="T32" s="10">
        <f t="shared" si="3"/>
        <v>102.89943460000003</v>
      </c>
      <c r="U32" s="10">
        <f t="shared" si="3"/>
        <v>102.89943460000003</v>
      </c>
      <c r="V32" s="10">
        <f t="shared" si="3"/>
        <v>102.89943460000003</v>
      </c>
      <c r="W32" s="10">
        <f t="shared" si="3"/>
        <v>0</v>
      </c>
      <c r="X32" s="10">
        <f t="shared" si="3"/>
        <v>0</v>
      </c>
      <c r="Y32" s="4">
        <f t="shared" si="0"/>
        <v>205.79886920000007</v>
      </c>
    </row>
    <row r="33" spans="1:25" ht="36" hidden="1" outlineLevel="1">
      <c r="A33" s="6" t="s">
        <v>434</v>
      </c>
      <c r="B33" s="7">
        <f>B17+B19+B21+B23+B25+B32</f>
        <v>398</v>
      </c>
      <c r="C33" s="10">
        <f>C17+C19+C21+C23+C25+C32</f>
        <v>1043.0695000000003</v>
      </c>
      <c r="D33" s="7">
        <f>D17+D19+D21+D23+D25+D32</f>
        <v>398</v>
      </c>
      <c r="E33" s="10">
        <f>E17+E19+E21+E23+E25+E32</f>
        <v>1043.0695000000003</v>
      </c>
      <c r="F33" s="7" t="s">
        <v>433</v>
      </c>
      <c r="G33" s="56">
        <f>G17+G19+G21+G23+G25+G32</f>
        <v>0</v>
      </c>
      <c r="H33" s="56">
        <f>H17+H19+H21+H23+H25+H32</f>
        <v>0</v>
      </c>
      <c r="I33" s="7" t="s">
        <v>441</v>
      </c>
      <c r="J33" s="56">
        <f>J17+J19+J21+J23+J25+J32</f>
        <v>0</v>
      </c>
      <c r="K33" s="56">
        <f>K17+K19+K21+K23+K25+K32</f>
        <v>0</v>
      </c>
      <c r="L33" s="7" t="s">
        <v>441</v>
      </c>
      <c r="M33" s="56">
        <f aca="true" t="shared" si="4" ref="M33:X33">M17+M19+M21+M23+M25+M32</f>
        <v>2418</v>
      </c>
      <c r="N33" s="56">
        <f t="shared" si="4"/>
        <v>13029</v>
      </c>
      <c r="O33" s="10">
        <f t="shared" si="4"/>
        <v>1133.771195652174</v>
      </c>
      <c r="P33" s="56">
        <f t="shared" si="4"/>
        <v>12</v>
      </c>
      <c r="Q33" s="56">
        <f t="shared" si="4"/>
        <v>1350</v>
      </c>
      <c r="R33" s="10">
        <f t="shared" si="4"/>
        <v>1646.4490529999998</v>
      </c>
      <c r="S33" s="10">
        <f t="shared" si="4"/>
        <v>658.5796212</v>
      </c>
      <c r="T33" s="10">
        <f t="shared" si="4"/>
        <v>329.2898106</v>
      </c>
      <c r="U33" s="10">
        <f t="shared" si="4"/>
        <v>329.2898106</v>
      </c>
      <c r="V33" s="10">
        <f t="shared" si="4"/>
        <v>329.2898106</v>
      </c>
      <c r="W33" s="10">
        <f t="shared" si="4"/>
        <v>0</v>
      </c>
      <c r="X33" s="10">
        <f t="shared" si="4"/>
        <v>0</v>
      </c>
      <c r="Y33" s="4">
        <f t="shared" si="0"/>
        <v>658.5796212</v>
      </c>
    </row>
    <row r="34" spans="1:25" ht="12.75" customHeight="1" outlineLevel="2">
      <c r="A34" s="170">
        <v>1</v>
      </c>
      <c r="B34" s="162" t="s">
        <v>534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4">
        <f t="shared" si="0"/>
        <v>0</v>
      </c>
    </row>
    <row r="35" spans="1:25" ht="18" outlineLevel="2">
      <c r="A35" s="170"/>
      <c r="B35" s="5">
        <f>D35+G35+J35</f>
        <v>36</v>
      </c>
      <c r="C35" s="8">
        <f>E35+H35+K35</f>
        <v>101.97</v>
      </c>
      <c r="D35" s="5">
        <v>36</v>
      </c>
      <c r="E35" s="8">
        <f>D35*FORECAST(D35,AA11:AA12,Z11:Z12)</f>
        <v>101.97</v>
      </c>
      <c r="F35" s="5" t="s">
        <v>433</v>
      </c>
      <c r="G35" s="5"/>
      <c r="H35" s="5"/>
      <c r="I35" s="5"/>
      <c r="J35" s="5"/>
      <c r="K35" s="5"/>
      <c r="L35" s="5"/>
      <c r="M35" s="5"/>
      <c r="N35" s="5">
        <v>1080</v>
      </c>
      <c r="O35" s="8">
        <f>C35/0.92</f>
        <v>110.83695652173913</v>
      </c>
      <c r="P35" s="5">
        <v>1</v>
      </c>
      <c r="Q35" s="5">
        <v>150</v>
      </c>
      <c r="R35" s="8">
        <f>1.454*C35</f>
        <v>148.26438</v>
      </c>
      <c r="S35" s="9">
        <f>E35*1.454*0.4</f>
        <v>59.305752</v>
      </c>
      <c r="T35" s="9">
        <f>E35*1.454*0.2</f>
        <v>29.652876</v>
      </c>
      <c r="U35" s="9">
        <f>E35*1.454*0.2</f>
        <v>29.652876</v>
      </c>
      <c r="V35" s="9">
        <f>E35*1.454*0.2</f>
        <v>29.652876</v>
      </c>
      <c r="W35" s="9">
        <f>H35*1.454</f>
        <v>0</v>
      </c>
      <c r="X35" s="9">
        <f>K35*1.454</f>
        <v>0</v>
      </c>
      <c r="Y35" s="4">
        <f t="shared" si="0"/>
        <v>59.305752</v>
      </c>
    </row>
    <row r="36" spans="1:25" ht="12.75" customHeight="1" outlineLevel="2">
      <c r="A36" s="170">
        <v>2</v>
      </c>
      <c r="B36" s="162" t="s">
        <v>122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4">
        <f t="shared" si="0"/>
        <v>0</v>
      </c>
    </row>
    <row r="37" spans="1:25" ht="18" outlineLevel="2">
      <c r="A37" s="170"/>
      <c r="B37" s="5">
        <f>D37+G37+J37</f>
        <v>32</v>
      </c>
      <c r="C37" s="8">
        <f>E37+H37+K37</f>
        <v>96.16</v>
      </c>
      <c r="D37" s="5">
        <v>32</v>
      </c>
      <c r="E37" s="8">
        <f>D37*FORECAST(D37,AA11:AA12,Z11:Z12)</f>
        <v>96.16</v>
      </c>
      <c r="F37" s="5" t="s">
        <v>433</v>
      </c>
      <c r="G37" s="5"/>
      <c r="H37" s="5"/>
      <c r="I37" s="5"/>
      <c r="J37" s="5"/>
      <c r="K37" s="5"/>
      <c r="L37" s="5"/>
      <c r="M37" s="5"/>
      <c r="N37" s="5">
        <v>960</v>
      </c>
      <c r="O37" s="8">
        <f>C37/0.92</f>
        <v>104.52173913043478</v>
      </c>
      <c r="P37" s="5">
        <v>1</v>
      </c>
      <c r="Q37" s="5">
        <v>100</v>
      </c>
      <c r="R37" s="8">
        <f>1.454*C37</f>
        <v>139.81663999999998</v>
      </c>
      <c r="S37" s="9">
        <f>E37*1.454*0.4</f>
        <v>55.926655999999994</v>
      </c>
      <c r="T37" s="9">
        <f>E37*1.454*0.2</f>
        <v>27.963327999999997</v>
      </c>
      <c r="U37" s="9">
        <f>E37*1.454*0.2</f>
        <v>27.963327999999997</v>
      </c>
      <c r="V37" s="9">
        <f>E37*1.454*0.2</f>
        <v>27.963327999999997</v>
      </c>
      <c r="W37" s="9">
        <f>H37*1.454</f>
        <v>0</v>
      </c>
      <c r="X37" s="9">
        <f>K37*1.454</f>
        <v>0</v>
      </c>
      <c r="Y37" s="4">
        <f t="shared" si="0"/>
        <v>55.926655999999994</v>
      </c>
    </row>
    <row r="38" spans="1:25" ht="36" outlineLevel="2">
      <c r="A38" s="6" t="s">
        <v>431</v>
      </c>
      <c r="B38" s="7">
        <f>B35+B37</f>
        <v>68</v>
      </c>
      <c r="C38" s="10">
        <f>C35+C37</f>
        <v>198.13</v>
      </c>
      <c r="D38" s="7">
        <f>D35+D37</f>
        <v>68</v>
      </c>
      <c r="E38" s="10">
        <f>E35+E37</f>
        <v>198.13</v>
      </c>
      <c r="F38" s="7" t="s">
        <v>433</v>
      </c>
      <c r="G38" s="7">
        <f>G35+G37</f>
        <v>0</v>
      </c>
      <c r="H38" s="7">
        <f>H35+H37</f>
        <v>0</v>
      </c>
      <c r="I38" s="7" t="s">
        <v>441</v>
      </c>
      <c r="J38" s="7">
        <f>J35+J37</f>
        <v>0</v>
      </c>
      <c r="K38" s="7">
        <f>K35+K37</f>
        <v>0</v>
      </c>
      <c r="L38" s="7" t="s">
        <v>441</v>
      </c>
      <c r="M38" s="7">
        <f aca="true" t="shared" si="5" ref="M38:X38">M35+M37</f>
        <v>0</v>
      </c>
      <c r="N38" s="7">
        <f t="shared" si="5"/>
        <v>2040</v>
      </c>
      <c r="O38" s="10">
        <f t="shared" si="5"/>
        <v>215.3586956521739</v>
      </c>
      <c r="P38" s="7">
        <f t="shared" si="5"/>
        <v>2</v>
      </c>
      <c r="Q38" s="7">
        <f t="shared" si="5"/>
        <v>250</v>
      </c>
      <c r="R38" s="10">
        <f t="shared" si="5"/>
        <v>288.08101999999997</v>
      </c>
      <c r="S38" s="10">
        <f t="shared" si="5"/>
        <v>115.23240799999999</v>
      </c>
      <c r="T38" s="10">
        <f t="shared" si="5"/>
        <v>57.616203999999996</v>
      </c>
      <c r="U38" s="10">
        <f t="shared" si="5"/>
        <v>57.616203999999996</v>
      </c>
      <c r="V38" s="10">
        <f t="shared" si="5"/>
        <v>57.616203999999996</v>
      </c>
      <c r="W38" s="10">
        <f t="shared" si="5"/>
        <v>0</v>
      </c>
      <c r="X38" s="10">
        <f t="shared" si="5"/>
        <v>0</v>
      </c>
      <c r="Y38" s="4">
        <f t="shared" si="0"/>
        <v>115.23240799999999</v>
      </c>
    </row>
    <row r="39" spans="1:25" ht="12.75" customHeight="1" outlineLevel="2">
      <c r="A39" s="170">
        <v>1</v>
      </c>
      <c r="B39" s="162" t="s">
        <v>123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4">
        <f t="shared" si="0"/>
        <v>0</v>
      </c>
    </row>
    <row r="40" spans="1:25" ht="18" outlineLevel="2">
      <c r="A40" s="170"/>
      <c r="B40" s="5">
        <f>D40+G40+J40</f>
        <v>34</v>
      </c>
      <c r="C40" s="8">
        <f>E40+H40+K40</f>
        <v>99.23750000000001</v>
      </c>
      <c r="D40" s="5">
        <v>34</v>
      </c>
      <c r="E40" s="8">
        <f>D40*FORECAST(D40,AA11:AA12,Z11:Z12)</f>
        <v>99.23750000000001</v>
      </c>
      <c r="F40" s="5" t="s">
        <v>433</v>
      </c>
      <c r="G40" s="5"/>
      <c r="H40" s="5"/>
      <c r="I40" s="5"/>
      <c r="J40" s="5"/>
      <c r="K40" s="5"/>
      <c r="L40" s="5"/>
      <c r="M40" s="5"/>
      <c r="N40" s="5">
        <v>1020</v>
      </c>
      <c r="O40" s="8">
        <f>C40/0.92</f>
        <v>107.86684782608697</v>
      </c>
      <c r="P40" s="5">
        <v>1</v>
      </c>
      <c r="Q40" s="5">
        <v>100</v>
      </c>
      <c r="R40" s="8">
        <f>1.454*C40</f>
        <v>144.291325</v>
      </c>
      <c r="S40" s="9">
        <f>E40*1.454*0.4</f>
        <v>57.716530000000006</v>
      </c>
      <c r="T40" s="9">
        <f>E40*1.454*0.2</f>
        <v>28.858265000000003</v>
      </c>
      <c r="U40" s="9">
        <f>E40*1.454*0.2</f>
        <v>28.858265000000003</v>
      </c>
      <c r="V40" s="9">
        <f>E40*1.454*0.2</f>
        <v>28.858265000000003</v>
      </c>
      <c r="W40" s="9">
        <f>H40*1.454</f>
        <v>0</v>
      </c>
      <c r="X40" s="9">
        <f>K40*1.454</f>
        <v>0</v>
      </c>
      <c r="Y40" s="4">
        <f t="shared" si="0"/>
        <v>57.716530000000006</v>
      </c>
    </row>
    <row r="41" spans="1:25" ht="12.75" customHeight="1" outlineLevel="2">
      <c r="A41" s="170">
        <v>1</v>
      </c>
      <c r="B41" s="162" t="s">
        <v>124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4">
        <f t="shared" si="0"/>
        <v>0</v>
      </c>
    </row>
    <row r="42" spans="1:25" ht="18" outlineLevel="2">
      <c r="A42" s="170"/>
      <c r="B42" s="5">
        <f>D42+G42+J42</f>
        <v>96</v>
      </c>
      <c r="C42" s="8">
        <f>E42+H42+K42</f>
        <v>209.47200000000004</v>
      </c>
      <c r="D42" s="5">
        <v>96</v>
      </c>
      <c r="E42" s="8">
        <f>D42*FORECAST(D42,AA13:AA14,Z13:Z14)</f>
        <v>209.47200000000004</v>
      </c>
      <c r="F42" s="5" t="s">
        <v>433</v>
      </c>
      <c r="G42" s="5"/>
      <c r="H42" s="5"/>
      <c r="I42" s="5"/>
      <c r="J42" s="5"/>
      <c r="K42" s="5"/>
      <c r="L42" s="5"/>
      <c r="M42" s="5"/>
      <c r="N42" s="5">
        <v>2880</v>
      </c>
      <c r="O42" s="8">
        <f>C42/0.92</f>
        <v>227.68695652173915</v>
      </c>
      <c r="P42" s="5">
        <v>2</v>
      </c>
      <c r="Q42" s="5">
        <f>200</f>
        <v>200</v>
      </c>
      <c r="R42" s="8">
        <f>1.454*C42</f>
        <v>304.57228800000007</v>
      </c>
      <c r="S42" s="9">
        <f>E42*1.454*0.4</f>
        <v>121.82891520000004</v>
      </c>
      <c r="T42" s="9">
        <f>E42*1.454*0.2</f>
        <v>60.91445760000002</v>
      </c>
      <c r="U42" s="9">
        <f>E42*1.454*0.2</f>
        <v>60.91445760000002</v>
      </c>
      <c r="V42" s="9">
        <f>E42*1.454*0.2</f>
        <v>60.91445760000002</v>
      </c>
      <c r="W42" s="9">
        <f>H42*1.454</f>
        <v>0</v>
      </c>
      <c r="X42" s="9">
        <f>K42*1.454</f>
        <v>0</v>
      </c>
      <c r="Y42" s="4">
        <f t="shared" si="0"/>
        <v>121.82891520000004</v>
      </c>
    </row>
    <row r="43" spans="1:25" ht="12.75" customHeight="1" outlineLevel="2">
      <c r="A43" s="170">
        <v>1</v>
      </c>
      <c r="B43" s="162" t="s">
        <v>125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4">
        <f t="shared" si="0"/>
        <v>0</v>
      </c>
    </row>
    <row r="44" spans="1:25" ht="18" outlineLevel="2">
      <c r="A44" s="170"/>
      <c r="B44" s="5">
        <f>D44+G44+J44</f>
        <v>27</v>
      </c>
      <c r="C44" s="8">
        <f>E44+H44+K44</f>
        <v>86.956875</v>
      </c>
      <c r="D44" s="5">
        <v>27</v>
      </c>
      <c r="E44" s="8">
        <f>D44*FORECAST(D44,AA11:AA12,Z11:Z12)</f>
        <v>86.956875</v>
      </c>
      <c r="F44" s="5" t="s">
        <v>433</v>
      </c>
      <c r="G44" s="5"/>
      <c r="H44" s="5"/>
      <c r="I44" s="5"/>
      <c r="J44" s="5"/>
      <c r="K44" s="5"/>
      <c r="L44" s="5"/>
      <c r="M44" s="5"/>
      <c r="N44" s="5">
        <v>810</v>
      </c>
      <c r="O44" s="8">
        <f>C44/0.92</f>
        <v>94.51834239130434</v>
      </c>
      <c r="P44" s="5">
        <v>1</v>
      </c>
      <c r="Q44" s="5">
        <v>100</v>
      </c>
      <c r="R44" s="8">
        <f>1.454*C44</f>
        <v>126.43529625</v>
      </c>
      <c r="S44" s="9">
        <f>E44*1.454*0.4</f>
        <v>50.5741185</v>
      </c>
      <c r="T44" s="9">
        <f>E44*1.454*0.2</f>
        <v>25.28705925</v>
      </c>
      <c r="U44" s="9">
        <f>E44*1.454*0.2</f>
        <v>25.28705925</v>
      </c>
      <c r="V44" s="9">
        <f>E44*1.454*0.2</f>
        <v>25.28705925</v>
      </c>
      <c r="W44" s="9">
        <f>H44*1.454</f>
        <v>0</v>
      </c>
      <c r="X44" s="9">
        <f>K44*1.454</f>
        <v>0</v>
      </c>
      <c r="Y44" s="4">
        <f t="shared" si="0"/>
        <v>50.5741185</v>
      </c>
    </row>
    <row r="45" spans="1:25" ht="36" hidden="1" outlineLevel="1">
      <c r="A45" s="6" t="s">
        <v>435</v>
      </c>
      <c r="B45" s="7">
        <f>B38+B40+B42+B44</f>
        <v>225</v>
      </c>
      <c r="C45" s="10">
        <f>C38+C40+C42+C44</f>
        <v>593.796375</v>
      </c>
      <c r="D45" s="7">
        <f>D38+D40+D42+D44</f>
        <v>225</v>
      </c>
      <c r="E45" s="10">
        <f>E38+E40+E42+E44</f>
        <v>593.796375</v>
      </c>
      <c r="F45" s="7" t="s">
        <v>433</v>
      </c>
      <c r="G45" s="7">
        <f>G38+G40+G42+G44</f>
        <v>0</v>
      </c>
      <c r="H45" s="7">
        <f>H38+H40+H42+H44</f>
        <v>0</v>
      </c>
      <c r="I45" s="7" t="s">
        <v>441</v>
      </c>
      <c r="J45" s="7">
        <f>J38+J40+J42+J44</f>
        <v>0</v>
      </c>
      <c r="K45" s="7">
        <f>K38+K40+K42+K44</f>
        <v>0</v>
      </c>
      <c r="L45" s="7" t="s">
        <v>441</v>
      </c>
      <c r="M45" s="7">
        <f aca="true" t="shared" si="6" ref="M45:X45">M38+M40+M42+M44</f>
        <v>0</v>
      </c>
      <c r="N45" s="7">
        <f t="shared" si="6"/>
        <v>6750</v>
      </c>
      <c r="O45" s="10">
        <f t="shared" si="6"/>
        <v>645.4308423913044</v>
      </c>
      <c r="P45" s="7">
        <f t="shared" si="6"/>
        <v>6</v>
      </c>
      <c r="Q45" s="7">
        <f t="shared" si="6"/>
        <v>650</v>
      </c>
      <c r="R45" s="10">
        <f t="shared" si="6"/>
        <v>863.37992925</v>
      </c>
      <c r="S45" s="10">
        <f t="shared" si="6"/>
        <v>345.35197170000004</v>
      </c>
      <c r="T45" s="10">
        <f t="shared" si="6"/>
        <v>172.67598585000002</v>
      </c>
      <c r="U45" s="10">
        <f t="shared" si="6"/>
        <v>172.67598585000002</v>
      </c>
      <c r="V45" s="10">
        <f t="shared" si="6"/>
        <v>172.67598585000002</v>
      </c>
      <c r="W45" s="10">
        <f t="shared" si="6"/>
        <v>0</v>
      </c>
      <c r="X45" s="10">
        <f t="shared" si="6"/>
        <v>0</v>
      </c>
      <c r="Y45" s="4">
        <f t="shared" si="0"/>
        <v>345.35197170000004</v>
      </c>
    </row>
    <row r="46" spans="1:25" ht="12.75" customHeight="1" outlineLevel="2">
      <c r="A46" s="170">
        <v>1</v>
      </c>
      <c r="B46" s="162" t="s">
        <v>126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4">
        <f t="shared" si="0"/>
        <v>0</v>
      </c>
    </row>
    <row r="47" spans="1:25" ht="18" outlineLevel="2">
      <c r="A47" s="170"/>
      <c r="B47" s="5">
        <f>D47+G47+J47</f>
        <v>30</v>
      </c>
      <c r="C47" s="8">
        <f>E47+H47+K47</f>
        <v>92.73749999999998</v>
      </c>
      <c r="D47" s="5">
        <v>30</v>
      </c>
      <c r="E47" s="8">
        <f>D47*FORECAST(D47,AA11:AA12,Z11:Z12)</f>
        <v>92.73749999999998</v>
      </c>
      <c r="F47" s="5" t="s">
        <v>433</v>
      </c>
      <c r="G47" s="5"/>
      <c r="H47" s="5"/>
      <c r="I47" s="5"/>
      <c r="J47" s="5"/>
      <c r="K47" s="5"/>
      <c r="L47" s="5"/>
      <c r="M47" s="5"/>
      <c r="N47" s="5">
        <v>720</v>
      </c>
      <c r="O47" s="8">
        <f>C47/0.92</f>
        <v>100.80163043478258</v>
      </c>
      <c r="P47" s="5">
        <v>1</v>
      </c>
      <c r="Q47" s="5">
        <v>100</v>
      </c>
      <c r="R47" s="8">
        <f>1.454*C47</f>
        <v>134.84032499999998</v>
      </c>
      <c r="S47" s="9">
        <f>E47*1.454*0.4</f>
        <v>53.93612999999999</v>
      </c>
      <c r="T47" s="9">
        <f>E47*1.454*0.2</f>
        <v>26.968064999999996</v>
      </c>
      <c r="U47" s="9">
        <f>E47*1.454*0.2</f>
        <v>26.968064999999996</v>
      </c>
      <c r="V47" s="9">
        <f>E47*1.454*0.2</f>
        <v>26.968064999999996</v>
      </c>
      <c r="W47" s="9">
        <f>H47*1.454</f>
        <v>0</v>
      </c>
      <c r="X47" s="9">
        <f>K47*1.454</f>
        <v>0</v>
      </c>
      <c r="Y47" s="4">
        <f t="shared" si="0"/>
        <v>53.93612999999999</v>
      </c>
    </row>
    <row r="48" spans="1:25" ht="12.75" customHeight="1" outlineLevel="2">
      <c r="A48" s="170">
        <v>2</v>
      </c>
      <c r="B48" s="162" t="s">
        <v>127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4">
        <f t="shared" si="0"/>
        <v>0</v>
      </c>
    </row>
    <row r="49" spans="1:25" ht="18" outlineLevel="2">
      <c r="A49" s="170"/>
      <c r="B49" s="5">
        <f>D49+G49+J49</f>
        <v>22</v>
      </c>
      <c r="C49" s="8">
        <f>E49+H49+K49</f>
        <v>77.88</v>
      </c>
      <c r="D49" s="5">
        <v>22</v>
      </c>
      <c r="E49" s="8">
        <f>D49*FORECAST(D49,AA10:AA11,Z10:Z11)</f>
        <v>77.88</v>
      </c>
      <c r="F49" s="5" t="s">
        <v>433</v>
      </c>
      <c r="G49" s="5"/>
      <c r="H49" s="5"/>
      <c r="I49" s="5"/>
      <c r="J49" s="5"/>
      <c r="K49" s="5"/>
      <c r="L49" s="5"/>
      <c r="M49" s="5"/>
      <c r="N49" s="5">
        <v>510</v>
      </c>
      <c r="O49" s="8">
        <f>C49/0.92</f>
        <v>84.65217391304347</v>
      </c>
      <c r="P49" s="5">
        <v>1</v>
      </c>
      <c r="Q49" s="5">
        <v>50</v>
      </c>
      <c r="R49" s="8">
        <f>1.454*C49</f>
        <v>113.23751999999999</v>
      </c>
      <c r="S49" s="9">
        <f>E49*1.454*0.4</f>
        <v>45.295007999999996</v>
      </c>
      <c r="T49" s="9">
        <f>E49*1.454*0.2</f>
        <v>22.647503999999998</v>
      </c>
      <c r="U49" s="9">
        <f>E49*1.454*0.2</f>
        <v>22.647503999999998</v>
      </c>
      <c r="V49" s="9">
        <f>E49*1.454*0.2</f>
        <v>22.647503999999998</v>
      </c>
      <c r="W49" s="9">
        <f>H49*1.454</f>
        <v>0</v>
      </c>
      <c r="X49" s="9">
        <f>K49*1.454</f>
        <v>0</v>
      </c>
      <c r="Y49" s="4">
        <f t="shared" si="0"/>
        <v>45.295007999999996</v>
      </c>
    </row>
    <row r="50" spans="1:25" ht="36" outlineLevel="2">
      <c r="A50" s="6" t="s">
        <v>431</v>
      </c>
      <c r="B50" s="7">
        <f>B47+B49</f>
        <v>52</v>
      </c>
      <c r="C50" s="10">
        <f>C47+C49</f>
        <v>170.61749999999998</v>
      </c>
      <c r="D50" s="7">
        <f>D47+D49</f>
        <v>52</v>
      </c>
      <c r="E50" s="10">
        <f>E47+E49</f>
        <v>170.61749999999998</v>
      </c>
      <c r="F50" s="7" t="s">
        <v>433</v>
      </c>
      <c r="G50" s="7">
        <f>G47+G49</f>
        <v>0</v>
      </c>
      <c r="H50" s="7">
        <f>H47+H49</f>
        <v>0</v>
      </c>
      <c r="I50" s="7" t="s">
        <v>441</v>
      </c>
      <c r="J50" s="7">
        <f>J47+J49</f>
        <v>0</v>
      </c>
      <c r="K50" s="7">
        <f>K47+K49</f>
        <v>0</v>
      </c>
      <c r="L50" s="7" t="s">
        <v>441</v>
      </c>
      <c r="M50" s="7">
        <f aca="true" t="shared" si="7" ref="M50:X50">M47+M49</f>
        <v>0</v>
      </c>
      <c r="N50" s="7">
        <f t="shared" si="7"/>
        <v>1230</v>
      </c>
      <c r="O50" s="7">
        <f t="shared" si="7"/>
        <v>185.45380434782606</v>
      </c>
      <c r="P50" s="7">
        <f t="shared" si="7"/>
        <v>2</v>
      </c>
      <c r="Q50" s="7">
        <f t="shared" si="7"/>
        <v>150</v>
      </c>
      <c r="R50" s="10">
        <f t="shared" si="7"/>
        <v>248.07784499999997</v>
      </c>
      <c r="S50" s="10">
        <f t="shared" si="7"/>
        <v>99.23113799999999</v>
      </c>
      <c r="T50" s="10">
        <f t="shared" si="7"/>
        <v>49.615568999999994</v>
      </c>
      <c r="U50" s="10">
        <f t="shared" si="7"/>
        <v>49.615568999999994</v>
      </c>
      <c r="V50" s="10">
        <f t="shared" si="7"/>
        <v>49.615568999999994</v>
      </c>
      <c r="W50" s="10">
        <f t="shared" si="7"/>
        <v>0</v>
      </c>
      <c r="X50" s="10">
        <f t="shared" si="7"/>
        <v>0</v>
      </c>
      <c r="Y50" s="4">
        <f t="shared" si="0"/>
        <v>99.23113799999999</v>
      </c>
    </row>
    <row r="51" spans="1:25" ht="12.75" customHeight="1" outlineLevel="2">
      <c r="A51" s="170">
        <v>1</v>
      </c>
      <c r="B51" s="162" t="s">
        <v>128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4">
        <f t="shared" si="0"/>
        <v>0</v>
      </c>
    </row>
    <row r="52" spans="1:25" ht="18" outlineLevel="2">
      <c r="A52" s="170"/>
      <c r="B52" s="5">
        <f>D52+G52+J52</f>
        <v>6</v>
      </c>
      <c r="C52" s="8">
        <f>E52+H52+K52</f>
        <v>42.35999999999999</v>
      </c>
      <c r="D52" s="5">
        <v>6</v>
      </c>
      <c r="E52" s="8">
        <f>D52*FORECAST(D52,AA6:AA7,Z6:Z7)</f>
        <v>42.35999999999999</v>
      </c>
      <c r="F52" s="5" t="s">
        <v>433</v>
      </c>
      <c r="G52" s="5"/>
      <c r="H52" s="5"/>
      <c r="I52" s="5"/>
      <c r="J52" s="5"/>
      <c r="K52" s="5"/>
      <c r="L52" s="5"/>
      <c r="M52" s="5"/>
      <c r="N52" s="5">
        <v>190</v>
      </c>
      <c r="O52" s="8">
        <f>C52/0.92</f>
        <v>46.043478260869556</v>
      </c>
      <c r="P52" s="5">
        <v>1</v>
      </c>
      <c r="Q52" s="5">
        <v>25</v>
      </c>
      <c r="R52" s="8">
        <f>1.454*C52</f>
        <v>61.591439999999984</v>
      </c>
      <c r="S52" s="9">
        <f>E52*1.454*0.4</f>
        <v>24.636575999999994</v>
      </c>
      <c r="T52" s="9">
        <f>E52*1.454*0.2</f>
        <v>12.318287999999997</v>
      </c>
      <c r="U52" s="9">
        <f>E52*1.454*0.2</f>
        <v>12.318287999999997</v>
      </c>
      <c r="V52" s="9">
        <f>E52*1.454*0.2</f>
        <v>12.318287999999997</v>
      </c>
      <c r="W52" s="9">
        <f>H52*1.454</f>
        <v>0</v>
      </c>
      <c r="X52" s="9">
        <f>K52*1.454</f>
        <v>0</v>
      </c>
      <c r="Y52" s="4">
        <f t="shared" si="0"/>
        <v>24.636575999999994</v>
      </c>
    </row>
    <row r="53" spans="1:25" ht="12.75" customHeight="1" outlineLevel="2">
      <c r="A53" s="170">
        <v>1</v>
      </c>
      <c r="B53" s="162" t="s">
        <v>129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4">
        <f t="shared" si="0"/>
        <v>0</v>
      </c>
    </row>
    <row r="54" spans="1:25" ht="18" outlineLevel="2">
      <c r="A54" s="170"/>
      <c r="B54" s="5">
        <f>D54+G54+J54</f>
        <v>21</v>
      </c>
      <c r="C54" s="8">
        <f>E54+H54+K54</f>
        <v>76.335</v>
      </c>
      <c r="D54" s="5">
        <v>21</v>
      </c>
      <c r="E54" s="8">
        <f>D54*FORECAST(D54,AA10:AA11,Z10:Z11)</f>
        <v>76.335</v>
      </c>
      <c r="F54" s="5" t="s">
        <v>433</v>
      </c>
      <c r="G54" s="5"/>
      <c r="H54" s="5"/>
      <c r="I54" s="5"/>
      <c r="J54" s="5"/>
      <c r="K54" s="5"/>
      <c r="L54" s="5"/>
      <c r="M54" s="5"/>
      <c r="N54" s="5">
        <v>620</v>
      </c>
      <c r="O54" s="8">
        <f>C54/0.92</f>
        <v>82.97282608695652</v>
      </c>
      <c r="P54" s="5">
        <v>1</v>
      </c>
      <c r="Q54" s="5">
        <v>50</v>
      </c>
      <c r="R54" s="8">
        <f>1.454*C54</f>
        <v>110.99108999999999</v>
      </c>
      <c r="S54" s="9">
        <f>E54*1.454*0.4</f>
        <v>44.396435999999994</v>
      </c>
      <c r="T54" s="9">
        <f>E54*1.454*0.2</f>
        <v>22.198217999999997</v>
      </c>
      <c r="U54" s="9">
        <f>E54*1.454*0.2</f>
        <v>22.198217999999997</v>
      </c>
      <c r="V54" s="9">
        <f>E54*1.454*0.2</f>
        <v>22.198217999999997</v>
      </c>
      <c r="W54" s="9">
        <f>H54*1.454</f>
        <v>0</v>
      </c>
      <c r="X54" s="9">
        <f>K54*1.454</f>
        <v>0</v>
      </c>
      <c r="Y54" s="4">
        <f t="shared" si="0"/>
        <v>44.396435999999994</v>
      </c>
    </row>
    <row r="55" spans="1:25" ht="12.75" customHeight="1" outlineLevel="2">
      <c r="A55" s="170">
        <v>2</v>
      </c>
      <c r="B55" s="162" t="s">
        <v>130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4">
        <f t="shared" si="0"/>
        <v>0</v>
      </c>
    </row>
    <row r="56" spans="1:25" ht="18" outlineLevel="2">
      <c r="A56" s="170"/>
      <c r="B56" s="5">
        <f>D56+G56+J56</f>
        <v>11</v>
      </c>
      <c r="C56" s="8">
        <f>E56+H56+K56</f>
        <v>57.67666666666668</v>
      </c>
      <c r="D56" s="5">
        <v>11</v>
      </c>
      <c r="E56" s="8">
        <f>D56*FORECAST(D56,AA7:AA8,Z7:Z8)</f>
        <v>57.67666666666668</v>
      </c>
      <c r="F56" s="5" t="s">
        <v>433</v>
      </c>
      <c r="G56" s="5"/>
      <c r="H56" s="5"/>
      <c r="I56" s="5"/>
      <c r="J56" s="5"/>
      <c r="K56" s="5"/>
      <c r="L56" s="5"/>
      <c r="M56" s="5"/>
      <c r="N56" s="5">
        <v>330</v>
      </c>
      <c r="O56" s="8">
        <f>C56/0.92</f>
        <v>62.69202898550726</v>
      </c>
      <c r="P56" s="5">
        <v>1</v>
      </c>
      <c r="Q56" s="5">
        <v>25</v>
      </c>
      <c r="R56" s="8">
        <f>1.454*C56</f>
        <v>83.86187333333335</v>
      </c>
      <c r="S56" s="9">
        <f>E56*1.454*0.4</f>
        <v>33.54474933333334</v>
      </c>
      <c r="T56" s="9">
        <f>E56*1.454*0.2</f>
        <v>16.77237466666667</v>
      </c>
      <c r="U56" s="9">
        <f>E56*1.454*0.2</f>
        <v>16.77237466666667</v>
      </c>
      <c r="V56" s="9">
        <f>E56*1.454*0.2</f>
        <v>16.77237466666667</v>
      </c>
      <c r="W56" s="9">
        <f>H56*1.454</f>
        <v>0</v>
      </c>
      <c r="X56" s="9">
        <f>K56*1.454</f>
        <v>0</v>
      </c>
      <c r="Y56" s="4">
        <f t="shared" si="0"/>
        <v>33.54474933333334</v>
      </c>
    </row>
    <row r="57" spans="1:25" ht="12.75" customHeight="1" outlineLevel="2">
      <c r="A57" s="170">
        <v>3</v>
      </c>
      <c r="B57" s="162" t="s">
        <v>131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4">
        <f t="shared" si="0"/>
        <v>0</v>
      </c>
    </row>
    <row r="58" spans="1:25" ht="18" outlineLevel="2">
      <c r="A58" s="170"/>
      <c r="B58" s="5">
        <f>D58+G58+J58</f>
        <v>18</v>
      </c>
      <c r="C58" s="8">
        <f>E58+H58+K58</f>
        <v>70.55999999999999</v>
      </c>
      <c r="D58" s="5">
        <v>18</v>
      </c>
      <c r="E58" s="8">
        <f>D58*FORECAST(D58,AA$10:AA$11,Z$10:Z$11)</f>
        <v>70.55999999999999</v>
      </c>
      <c r="F58" s="5" t="s">
        <v>433</v>
      </c>
      <c r="G58" s="5"/>
      <c r="H58" s="5"/>
      <c r="I58" s="5"/>
      <c r="J58" s="5"/>
      <c r="K58" s="5"/>
      <c r="L58" s="5"/>
      <c r="M58" s="5"/>
      <c r="N58" s="5">
        <v>540</v>
      </c>
      <c r="O58" s="8">
        <f>C58/0.92</f>
        <v>76.69565217391303</v>
      </c>
      <c r="P58" s="5">
        <v>1</v>
      </c>
      <c r="Q58" s="5">
        <v>50</v>
      </c>
      <c r="R58" s="8">
        <f>1.454*C58</f>
        <v>102.59423999999999</v>
      </c>
      <c r="S58" s="9">
        <f>E58*1.454*0.4</f>
        <v>41.037696</v>
      </c>
      <c r="T58" s="9">
        <f>E58*1.454*0.2</f>
        <v>20.518848</v>
      </c>
      <c r="U58" s="9">
        <f>E58*1.454*0.2</f>
        <v>20.518848</v>
      </c>
      <c r="V58" s="9">
        <f>E58*1.454*0.2</f>
        <v>20.518848</v>
      </c>
      <c r="W58" s="9">
        <f>H58*1.454</f>
        <v>0</v>
      </c>
      <c r="X58" s="9">
        <f>K58*1.454</f>
        <v>0</v>
      </c>
      <c r="Y58" s="4">
        <f t="shared" si="0"/>
        <v>41.037696</v>
      </c>
    </row>
    <row r="59" spans="1:25" ht="36" outlineLevel="2">
      <c r="A59" s="6" t="s">
        <v>431</v>
      </c>
      <c r="B59" s="7">
        <f>B54+B56+B58</f>
        <v>50</v>
      </c>
      <c r="C59" s="10">
        <f>C54+C56+C58</f>
        <v>204.57166666666666</v>
      </c>
      <c r="D59" s="7">
        <f>D54+D56+D58</f>
        <v>50</v>
      </c>
      <c r="E59" s="10">
        <f>E54+E56+E58</f>
        <v>204.57166666666666</v>
      </c>
      <c r="F59" s="7" t="s">
        <v>433</v>
      </c>
      <c r="G59" s="7">
        <f>G54+G56+G58</f>
        <v>0</v>
      </c>
      <c r="H59" s="7">
        <f>H54+H56+H58</f>
        <v>0</v>
      </c>
      <c r="I59" s="7" t="s">
        <v>441</v>
      </c>
      <c r="J59" s="7">
        <f>J54+J56+J58</f>
        <v>0</v>
      </c>
      <c r="K59" s="7">
        <f>K54+K56+K58</f>
        <v>0</v>
      </c>
      <c r="L59" s="7" t="s">
        <v>441</v>
      </c>
      <c r="M59" s="7">
        <f aca="true" t="shared" si="8" ref="M59:R59">M54+M56+M58</f>
        <v>0</v>
      </c>
      <c r="N59" s="7">
        <f t="shared" si="8"/>
        <v>1490</v>
      </c>
      <c r="O59" s="10">
        <f t="shared" si="8"/>
        <v>222.3605072463768</v>
      </c>
      <c r="P59" s="7">
        <f t="shared" si="8"/>
        <v>3</v>
      </c>
      <c r="Q59" s="7">
        <f t="shared" si="8"/>
        <v>125</v>
      </c>
      <c r="R59" s="12">
        <f t="shared" si="8"/>
        <v>297.4472033333333</v>
      </c>
      <c r="S59" s="12">
        <f aca="true" t="shared" si="9" ref="S59:X59">S54+S56+S58</f>
        <v>118.97888133333333</v>
      </c>
      <c r="T59" s="12">
        <f t="shared" si="9"/>
        <v>59.48944066666667</v>
      </c>
      <c r="U59" s="12">
        <f t="shared" si="9"/>
        <v>59.48944066666667</v>
      </c>
      <c r="V59" s="12">
        <f t="shared" si="9"/>
        <v>59.48944066666667</v>
      </c>
      <c r="W59" s="12">
        <f t="shared" si="9"/>
        <v>0</v>
      </c>
      <c r="X59" s="12">
        <f t="shared" si="9"/>
        <v>0</v>
      </c>
      <c r="Y59" s="4">
        <f t="shared" si="0"/>
        <v>118.97888133333333</v>
      </c>
    </row>
    <row r="60" spans="1:25" ht="36" hidden="1" outlineLevel="1">
      <c r="A60" s="6" t="s">
        <v>436</v>
      </c>
      <c r="B60" s="7">
        <f>B50+B52+B59</f>
        <v>108</v>
      </c>
      <c r="C60" s="10">
        <f>C50+C52+C59</f>
        <v>417.5491666666666</v>
      </c>
      <c r="D60" s="7">
        <f>D50+D52+D59</f>
        <v>108</v>
      </c>
      <c r="E60" s="10">
        <f>E50+E52+E59</f>
        <v>417.5491666666666</v>
      </c>
      <c r="F60" s="7" t="s">
        <v>433</v>
      </c>
      <c r="G60" s="7">
        <f>G50+G52+G59</f>
        <v>0</v>
      </c>
      <c r="H60" s="7">
        <f>H50+H52+H59</f>
        <v>0</v>
      </c>
      <c r="I60" s="7" t="s">
        <v>441</v>
      </c>
      <c r="J60" s="7">
        <f>J50+J52+J59</f>
        <v>0</v>
      </c>
      <c r="K60" s="7">
        <f>K50+K52+K59</f>
        <v>0</v>
      </c>
      <c r="L60" s="7" t="s">
        <v>441</v>
      </c>
      <c r="M60" s="7">
        <f aca="true" t="shared" si="10" ref="M60:R60">M50+M52+M59</f>
        <v>0</v>
      </c>
      <c r="N60" s="7">
        <f t="shared" si="10"/>
        <v>2910</v>
      </c>
      <c r="O60" s="10">
        <f t="shared" si="10"/>
        <v>453.85778985507244</v>
      </c>
      <c r="P60" s="7">
        <f t="shared" si="10"/>
        <v>6</v>
      </c>
      <c r="Q60" s="7">
        <f t="shared" si="10"/>
        <v>300</v>
      </c>
      <c r="R60" s="12">
        <f t="shared" si="10"/>
        <v>607.1164883333332</v>
      </c>
      <c r="S60" s="12">
        <f aca="true" t="shared" si="11" ref="S60:X60">S50+S52+S59</f>
        <v>242.8465953333333</v>
      </c>
      <c r="T60" s="12">
        <f t="shared" si="11"/>
        <v>121.42329766666666</v>
      </c>
      <c r="U60" s="12">
        <f t="shared" si="11"/>
        <v>121.42329766666666</v>
      </c>
      <c r="V60" s="12">
        <f t="shared" si="11"/>
        <v>121.42329766666666</v>
      </c>
      <c r="W60" s="12">
        <f t="shared" si="11"/>
        <v>0</v>
      </c>
      <c r="X60" s="12">
        <f t="shared" si="11"/>
        <v>0</v>
      </c>
      <c r="Y60" s="4">
        <f t="shared" si="0"/>
        <v>242.8465953333333</v>
      </c>
    </row>
    <row r="61" spans="1:25" ht="12.75" customHeight="1" outlineLevel="2">
      <c r="A61" s="170">
        <v>1</v>
      </c>
      <c r="B61" s="162" t="s">
        <v>132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4">
        <f t="shared" si="0"/>
        <v>0</v>
      </c>
    </row>
    <row r="62" spans="1:25" ht="18" outlineLevel="2">
      <c r="A62" s="170"/>
      <c r="B62" s="5">
        <f>D62+G62+J62</f>
        <v>35</v>
      </c>
      <c r="C62" s="8">
        <f>E62+H62+K62</f>
        <v>100.646875</v>
      </c>
      <c r="D62" s="5">
        <v>35</v>
      </c>
      <c r="E62" s="8">
        <f>D62*FORECAST(D62,AA$11:AA$12,Z$11:Z$12)</f>
        <v>100.646875</v>
      </c>
      <c r="F62" s="5" t="s">
        <v>433</v>
      </c>
      <c r="G62" s="5"/>
      <c r="H62" s="5"/>
      <c r="I62" s="5"/>
      <c r="J62" s="5"/>
      <c r="K62" s="5"/>
      <c r="L62" s="5"/>
      <c r="M62" s="5"/>
      <c r="N62" s="5">
        <v>1050</v>
      </c>
      <c r="O62" s="8">
        <f>C62/0.92</f>
        <v>109.39877717391303</v>
      </c>
      <c r="P62" s="5">
        <v>1</v>
      </c>
      <c r="Q62" s="5">
        <v>150</v>
      </c>
      <c r="R62" s="8">
        <f>1.454*C62</f>
        <v>146.34055625</v>
      </c>
      <c r="S62" s="9">
        <f>E62*1.454*0.4</f>
        <v>58.5362225</v>
      </c>
      <c r="T62" s="9">
        <f>E62*1.454*0.2</f>
        <v>29.26811125</v>
      </c>
      <c r="U62" s="9">
        <f>E62*1.454*0.2</f>
        <v>29.26811125</v>
      </c>
      <c r="V62" s="9">
        <f>E62*1.454*0.2</f>
        <v>29.26811125</v>
      </c>
      <c r="W62" s="9">
        <f>H62*1.454</f>
        <v>0</v>
      </c>
      <c r="X62" s="9">
        <f>K62*1.454</f>
        <v>0</v>
      </c>
      <c r="Y62" s="4">
        <f t="shared" si="0"/>
        <v>58.5362225</v>
      </c>
    </row>
    <row r="63" spans="1:25" ht="12.75" customHeight="1" outlineLevel="2">
      <c r="A63" s="170">
        <v>1</v>
      </c>
      <c r="B63" s="162" t="s">
        <v>667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4">
        <f t="shared" si="0"/>
        <v>0</v>
      </c>
    </row>
    <row r="64" spans="1:25" ht="18" outlineLevel="2">
      <c r="A64" s="170"/>
      <c r="B64" s="5">
        <f>D64+G64+J64</f>
        <v>14</v>
      </c>
      <c r="C64" s="8">
        <f>E64+H64+K64</f>
        <v>63.65333333333335</v>
      </c>
      <c r="D64" s="5">
        <v>14</v>
      </c>
      <c r="E64" s="8">
        <f>D64*FORECAST(D64,AA$8:AA$9,Z$8:Z$9)</f>
        <v>63.65333333333335</v>
      </c>
      <c r="F64" s="5" t="s">
        <v>433</v>
      </c>
      <c r="G64" s="5"/>
      <c r="H64" s="5"/>
      <c r="I64" s="5"/>
      <c r="J64" s="5"/>
      <c r="K64" s="5"/>
      <c r="L64" s="5"/>
      <c r="M64" s="5"/>
      <c r="N64" s="5">
        <v>420</v>
      </c>
      <c r="O64" s="8">
        <f>C64/0.92</f>
        <v>69.18840579710147</v>
      </c>
      <c r="P64" s="5">
        <v>1</v>
      </c>
      <c r="Q64" s="5">
        <v>50</v>
      </c>
      <c r="R64" s="8">
        <f>1.454*C64</f>
        <v>92.5519466666667</v>
      </c>
      <c r="S64" s="9">
        <f>E64*1.454*0.4</f>
        <v>37.02077866666668</v>
      </c>
      <c r="T64" s="9">
        <f>E64*1.454*0.2</f>
        <v>18.51038933333334</v>
      </c>
      <c r="U64" s="9">
        <f>E64*1.454*0.2</f>
        <v>18.51038933333334</v>
      </c>
      <c r="V64" s="9">
        <f>E64*1.454*0.2</f>
        <v>18.51038933333334</v>
      </c>
      <c r="W64" s="9">
        <f>H64*1.454</f>
        <v>0</v>
      </c>
      <c r="X64" s="9">
        <f>K64*1.454</f>
        <v>0</v>
      </c>
      <c r="Y64" s="4">
        <f t="shared" si="0"/>
        <v>37.02077866666668</v>
      </c>
    </row>
    <row r="65" spans="1:25" ht="12.75" customHeight="1" outlineLevel="2">
      <c r="A65" s="170">
        <v>1</v>
      </c>
      <c r="B65" s="162" t="s">
        <v>525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4">
        <f t="shared" si="0"/>
        <v>0</v>
      </c>
    </row>
    <row r="66" spans="1:25" ht="18" outlineLevel="2">
      <c r="A66" s="170"/>
      <c r="B66" s="5">
        <f>D66+G66+J66</f>
        <v>45</v>
      </c>
      <c r="C66" s="8">
        <f>E66+H66+K66</f>
        <v>116.55</v>
      </c>
      <c r="D66" s="5">
        <v>45</v>
      </c>
      <c r="E66" s="8">
        <f>D66*FORECAST(D66,AA$12:AA$13,Z$12:Z$13)</f>
        <v>116.55</v>
      </c>
      <c r="F66" s="5" t="s">
        <v>433</v>
      </c>
      <c r="G66" s="5"/>
      <c r="H66" s="5"/>
      <c r="I66" s="5"/>
      <c r="J66" s="5"/>
      <c r="K66" s="5"/>
      <c r="L66" s="5"/>
      <c r="M66" s="5"/>
      <c r="N66" s="5">
        <v>1350</v>
      </c>
      <c r="O66" s="8">
        <f>C66/0.92</f>
        <v>126.68478260869564</v>
      </c>
      <c r="P66" s="5">
        <v>2</v>
      </c>
      <c r="Q66" s="5">
        <f>200</f>
        <v>200</v>
      </c>
      <c r="R66" s="8">
        <f>1.454*C66</f>
        <v>169.4637</v>
      </c>
      <c r="S66" s="9">
        <f>E66*1.454*0.4</f>
        <v>67.78547999999999</v>
      </c>
      <c r="T66" s="9">
        <f>E66*1.454*0.2</f>
        <v>33.892739999999996</v>
      </c>
      <c r="U66" s="9">
        <f>E66*1.454*0.2</f>
        <v>33.892739999999996</v>
      </c>
      <c r="V66" s="9">
        <f>E66*1.454*0.2</f>
        <v>33.892739999999996</v>
      </c>
      <c r="W66" s="9">
        <f>H66*1.454</f>
        <v>0</v>
      </c>
      <c r="X66" s="9">
        <f>K66*1.454</f>
        <v>0</v>
      </c>
      <c r="Y66" s="4">
        <f t="shared" si="0"/>
        <v>67.78547999999999</v>
      </c>
    </row>
    <row r="67" spans="1:24" s="59" customFormat="1" ht="19.5" customHeight="1">
      <c r="A67" s="162" t="s">
        <v>724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3"/>
    </row>
    <row r="68" spans="1:24" s="59" customFormat="1" ht="18.75">
      <c r="A68" s="71">
        <v>1</v>
      </c>
      <c r="B68" s="72">
        <v>24</v>
      </c>
      <c r="C68" s="72">
        <v>70</v>
      </c>
      <c r="D68" s="72">
        <v>24</v>
      </c>
      <c r="E68" s="72">
        <v>70</v>
      </c>
      <c r="F68" s="73" t="s">
        <v>433</v>
      </c>
      <c r="G68" s="72">
        <v>0</v>
      </c>
      <c r="H68" s="72">
        <v>0</v>
      </c>
      <c r="I68" s="72" t="s">
        <v>441</v>
      </c>
      <c r="J68" s="72">
        <v>0</v>
      </c>
      <c r="K68" s="72">
        <v>0</v>
      </c>
      <c r="L68" s="72" t="s">
        <v>441</v>
      </c>
      <c r="M68" s="72">
        <v>0</v>
      </c>
      <c r="N68" s="73">
        <v>885</v>
      </c>
      <c r="O68" s="73">
        <v>76.1</v>
      </c>
      <c r="P68" s="73">
        <v>1</v>
      </c>
      <c r="Q68" s="73">
        <v>100</v>
      </c>
      <c r="R68" s="73">
        <v>231.6</v>
      </c>
      <c r="S68" s="73">
        <f>R68*0.4</f>
        <v>92.64</v>
      </c>
      <c r="T68" s="73">
        <f>R68*0.2</f>
        <v>46.32</v>
      </c>
      <c r="U68" s="73">
        <v>46.3</v>
      </c>
      <c r="V68" s="73">
        <v>46.3</v>
      </c>
      <c r="W68" s="73">
        <v>0</v>
      </c>
      <c r="X68" s="73">
        <v>0</v>
      </c>
    </row>
    <row r="69" spans="1:24" s="59" customFormat="1" ht="18.75" customHeight="1">
      <c r="A69" s="162" t="s">
        <v>3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3"/>
    </row>
    <row r="70" spans="1:24" s="59" customFormat="1" ht="18.75">
      <c r="A70" s="71">
        <v>1</v>
      </c>
      <c r="B70" s="72">
        <v>220</v>
      </c>
      <c r="C70" s="72">
        <v>810</v>
      </c>
      <c r="D70" s="72">
        <v>220</v>
      </c>
      <c r="E70" s="72">
        <v>810</v>
      </c>
      <c r="F70" s="73" t="s">
        <v>433</v>
      </c>
      <c r="G70" s="72">
        <v>0</v>
      </c>
      <c r="H70" s="72">
        <v>0</v>
      </c>
      <c r="I70" s="72" t="s">
        <v>441</v>
      </c>
      <c r="J70" s="72">
        <v>0</v>
      </c>
      <c r="K70" s="72">
        <v>0</v>
      </c>
      <c r="L70" s="72" t="s">
        <v>441</v>
      </c>
      <c r="M70" s="73">
        <v>530</v>
      </c>
      <c r="N70" s="73">
        <v>7460</v>
      </c>
      <c r="O70" s="73">
        <v>880</v>
      </c>
      <c r="P70" s="73">
        <v>2</v>
      </c>
      <c r="Q70" s="73">
        <v>630.4</v>
      </c>
      <c r="R70" s="73">
        <v>2080</v>
      </c>
      <c r="S70" s="73">
        <f>R70*0.4</f>
        <v>832</v>
      </c>
      <c r="T70" s="73">
        <v>416</v>
      </c>
      <c r="U70" s="73">
        <v>416</v>
      </c>
      <c r="V70" s="73">
        <v>416</v>
      </c>
      <c r="W70" s="73">
        <v>0</v>
      </c>
      <c r="X70" s="73">
        <v>0</v>
      </c>
    </row>
    <row r="71" spans="1:24" s="59" customFormat="1" ht="18.75" customHeight="1">
      <c r="A71" s="162" t="s">
        <v>723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3"/>
    </row>
    <row r="72" spans="1:24" s="59" customFormat="1" ht="18.75">
      <c r="A72" s="71">
        <v>1</v>
      </c>
      <c r="B72" s="72">
        <v>92</v>
      </c>
      <c r="C72" s="72">
        <v>450</v>
      </c>
      <c r="D72" s="72">
        <v>92</v>
      </c>
      <c r="E72" s="72">
        <v>450</v>
      </c>
      <c r="F72" s="73" t="s">
        <v>433</v>
      </c>
      <c r="G72" s="72">
        <v>0</v>
      </c>
      <c r="H72" s="72">
        <v>0</v>
      </c>
      <c r="I72" s="72" t="s">
        <v>441</v>
      </c>
      <c r="J72" s="72">
        <v>0</v>
      </c>
      <c r="K72" s="72">
        <v>0</v>
      </c>
      <c r="L72" s="72" t="s">
        <v>441</v>
      </c>
      <c r="M72" s="73">
        <v>0</v>
      </c>
      <c r="N72" s="73">
        <v>2800</v>
      </c>
      <c r="O72" s="73">
        <v>450</v>
      </c>
      <c r="P72" s="73">
        <v>1</v>
      </c>
      <c r="Q72" s="73">
        <v>450</v>
      </c>
      <c r="R72" s="73">
        <v>420</v>
      </c>
      <c r="S72" s="73">
        <f>R72*0.4</f>
        <v>168</v>
      </c>
      <c r="T72" s="73">
        <v>84</v>
      </c>
      <c r="U72" s="73">
        <v>84</v>
      </c>
      <c r="V72" s="73">
        <v>84</v>
      </c>
      <c r="W72" s="73">
        <v>0</v>
      </c>
      <c r="X72" s="73">
        <v>0</v>
      </c>
    </row>
    <row r="73" spans="1:24" s="59" customFormat="1" ht="18.75" customHeight="1">
      <c r="A73" s="162" t="s">
        <v>4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3"/>
    </row>
    <row r="74" spans="1:24" s="59" customFormat="1" ht="18.75">
      <c r="A74" s="71">
        <v>1</v>
      </c>
      <c r="B74" s="72">
        <v>16</v>
      </c>
      <c r="C74" s="72">
        <v>80</v>
      </c>
      <c r="D74" s="72">
        <v>16</v>
      </c>
      <c r="E74" s="72">
        <v>80</v>
      </c>
      <c r="F74" s="73" t="s">
        <v>433</v>
      </c>
      <c r="G74" s="72">
        <v>0</v>
      </c>
      <c r="H74" s="72">
        <v>0</v>
      </c>
      <c r="I74" s="72" t="s">
        <v>441</v>
      </c>
      <c r="J74" s="72">
        <v>0</v>
      </c>
      <c r="K74" s="72">
        <v>0</v>
      </c>
      <c r="L74" s="72" t="s">
        <v>441</v>
      </c>
      <c r="M74" s="73">
        <v>0</v>
      </c>
      <c r="N74" s="73">
        <v>563</v>
      </c>
      <c r="O74" s="73">
        <v>80</v>
      </c>
      <c r="P74" s="73">
        <v>1</v>
      </c>
      <c r="Q74" s="73">
        <v>250</v>
      </c>
      <c r="R74" s="73">
        <v>145.4</v>
      </c>
      <c r="S74" s="73">
        <f>R74*0.4</f>
        <v>58.160000000000004</v>
      </c>
      <c r="T74" s="73">
        <f>R74*0.2</f>
        <v>29.080000000000002</v>
      </c>
      <c r="U74" s="73">
        <v>29.08</v>
      </c>
      <c r="V74" s="73">
        <v>29.08</v>
      </c>
      <c r="W74" s="73">
        <v>0</v>
      </c>
      <c r="X74" s="73">
        <v>0</v>
      </c>
    </row>
    <row r="75" spans="1:24" s="59" customFormat="1" ht="18.75" customHeight="1">
      <c r="A75" s="162" t="s">
        <v>725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3"/>
    </row>
    <row r="76" spans="1:24" s="59" customFormat="1" ht="18.75">
      <c r="A76" s="71">
        <v>1</v>
      </c>
      <c r="B76" s="72">
        <v>13</v>
      </c>
      <c r="C76" s="72">
        <v>41.6</v>
      </c>
      <c r="D76" s="72">
        <v>13</v>
      </c>
      <c r="E76" s="72">
        <v>41.6</v>
      </c>
      <c r="F76" s="73" t="s">
        <v>433</v>
      </c>
      <c r="G76" s="72">
        <v>0</v>
      </c>
      <c r="H76" s="72">
        <v>0</v>
      </c>
      <c r="I76" s="72" t="s">
        <v>441</v>
      </c>
      <c r="J76" s="72">
        <v>0</v>
      </c>
      <c r="K76" s="72">
        <v>0</v>
      </c>
      <c r="L76" s="72" t="s">
        <v>441</v>
      </c>
      <c r="M76" s="73">
        <v>0</v>
      </c>
      <c r="N76" s="73">
        <v>340</v>
      </c>
      <c r="O76" s="73">
        <v>41.6</v>
      </c>
      <c r="P76" s="73">
        <v>0</v>
      </c>
      <c r="Q76" s="73">
        <v>0</v>
      </c>
      <c r="R76" s="73">
        <v>115</v>
      </c>
      <c r="S76" s="73">
        <f>R76*0.4</f>
        <v>46</v>
      </c>
      <c r="T76" s="73">
        <f>R76*0.2</f>
        <v>23</v>
      </c>
      <c r="U76" s="73">
        <v>23</v>
      </c>
      <c r="V76" s="73">
        <v>23</v>
      </c>
      <c r="W76" s="73">
        <v>0</v>
      </c>
      <c r="X76" s="73">
        <v>0</v>
      </c>
    </row>
    <row r="77" spans="1:24" s="59" customFormat="1" ht="18.75" customHeight="1">
      <c r="A77" s="162" t="s">
        <v>726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3"/>
    </row>
    <row r="78" spans="1:24" s="59" customFormat="1" ht="18.75">
      <c r="A78" s="71">
        <v>2</v>
      </c>
      <c r="B78" s="72">
        <v>28</v>
      </c>
      <c r="C78" s="72">
        <v>89.6</v>
      </c>
      <c r="D78" s="72">
        <v>28</v>
      </c>
      <c r="E78" s="72">
        <v>89.6</v>
      </c>
      <c r="F78" s="73" t="s">
        <v>433</v>
      </c>
      <c r="G78" s="72">
        <v>0</v>
      </c>
      <c r="H78" s="72">
        <v>0</v>
      </c>
      <c r="I78" s="72" t="s">
        <v>441</v>
      </c>
      <c r="J78" s="72">
        <v>0</v>
      </c>
      <c r="K78" s="72">
        <v>0</v>
      </c>
      <c r="L78" s="72" t="s">
        <v>441</v>
      </c>
      <c r="M78" s="72">
        <v>0</v>
      </c>
      <c r="N78" s="73">
        <v>270</v>
      </c>
      <c r="O78" s="73">
        <v>89.6</v>
      </c>
      <c r="P78" s="73">
        <v>1</v>
      </c>
      <c r="Q78" s="73">
        <v>250</v>
      </c>
      <c r="R78" s="73">
        <v>125</v>
      </c>
      <c r="S78" s="73">
        <f>R78*0.4</f>
        <v>50</v>
      </c>
      <c r="T78" s="73">
        <f>R78*0.2</f>
        <v>25</v>
      </c>
      <c r="U78" s="73">
        <v>25</v>
      </c>
      <c r="V78" s="73">
        <v>25</v>
      </c>
      <c r="W78" s="73">
        <v>0</v>
      </c>
      <c r="X78" s="73">
        <v>0</v>
      </c>
    </row>
    <row r="79" spans="1:24" s="59" customFormat="1" ht="18.75" customHeight="1">
      <c r="A79" s="162" t="s">
        <v>727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3"/>
    </row>
    <row r="80" spans="1:24" s="59" customFormat="1" ht="18.75">
      <c r="A80" s="71">
        <v>3</v>
      </c>
      <c r="B80" s="72">
        <v>9</v>
      </c>
      <c r="C80" s="72">
        <v>28.8</v>
      </c>
      <c r="D80" s="72">
        <v>9</v>
      </c>
      <c r="E80" s="72">
        <v>28.8</v>
      </c>
      <c r="F80" s="73" t="s">
        <v>433</v>
      </c>
      <c r="G80" s="72">
        <v>0</v>
      </c>
      <c r="H80" s="72">
        <v>0</v>
      </c>
      <c r="I80" s="72" t="s">
        <v>441</v>
      </c>
      <c r="J80" s="72">
        <v>0</v>
      </c>
      <c r="K80" s="72">
        <v>0</v>
      </c>
      <c r="L80" s="72" t="s">
        <v>441</v>
      </c>
      <c r="M80" s="73">
        <v>0</v>
      </c>
      <c r="N80" s="73">
        <v>280</v>
      </c>
      <c r="O80" s="73">
        <v>28.8</v>
      </c>
      <c r="P80" s="73">
        <v>0</v>
      </c>
      <c r="Q80" s="73">
        <v>0</v>
      </c>
      <c r="R80" s="73">
        <v>110</v>
      </c>
      <c r="S80" s="73">
        <f>R80*0.4</f>
        <v>44</v>
      </c>
      <c r="T80" s="73">
        <f>R80*0.2</f>
        <v>22</v>
      </c>
      <c r="U80" s="73">
        <v>22</v>
      </c>
      <c r="V80" s="73">
        <v>22</v>
      </c>
      <c r="W80" s="73">
        <v>0</v>
      </c>
      <c r="X80" s="73">
        <v>0</v>
      </c>
    </row>
    <row r="81" spans="1:24" s="59" customFormat="1" ht="36">
      <c r="A81" s="15" t="s">
        <v>431</v>
      </c>
      <c r="B81" s="72">
        <v>50</v>
      </c>
      <c r="C81" s="72">
        <v>160</v>
      </c>
      <c r="D81" s="72">
        <v>50</v>
      </c>
      <c r="E81" s="72">
        <v>160</v>
      </c>
      <c r="F81" s="73" t="s">
        <v>433</v>
      </c>
      <c r="G81" s="72">
        <f aca="true" t="shared" si="12" ref="G81:L81">G80</f>
        <v>0</v>
      </c>
      <c r="H81" s="72">
        <f t="shared" si="12"/>
        <v>0</v>
      </c>
      <c r="I81" s="72" t="str">
        <f t="shared" si="12"/>
        <v>-</v>
      </c>
      <c r="J81" s="72">
        <f t="shared" si="12"/>
        <v>0</v>
      </c>
      <c r="K81" s="72">
        <f t="shared" si="12"/>
        <v>0</v>
      </c>
      <c r="L81" s="72" t="str">
        <f t="shared" si="12"/>
        <v>-</v>
      </c>
      <c r="M81" s="73">
        <v>0</v>
      </c>
      <c r="N81" s="73">
        <v>1010</v>
      </c>
      <c r="O81" s="73">
        <v>160</v>
      </c>
      <c r="P81" s="73">
        <v>1</v>
      </c>
      <c r="Q81" s="73">
        <v>250</v>
      </c>
      <c r="R81" s="73">
        <v>350</v>
      </c>
      <c r="S81" s="73">
        <f>R81*0.4</f>
        <v>140</v>
      </c>
      <c r="T81" s="73">
        <f>R81*0.2</f>
        <v>70</v>
      </c>
      <c r="U81" s="73">
        <v>70</v>
      </c>
      <c r="V81" s="73">
        <v>70</v>
      </c>
      <c r="W81" s="73">
        <v>0</v>
      </c>
      <c r="X81" s="73">
        <v>0</v>
      </c>
    </row>
    <row r="82" spans="1:24" s="59" customFormat="1" ht="18.75" customHeight="1">
      <c r="A82" s="162" t="s">
        <v>5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3"/>
    </row>
    <row r="83" spans="1:24" s="59" customFormat="1" ht="18.75">
      <c r="A83" s="71">
        <v>1</v>
      </c>
      <c r="B83" s="74">
        <v>11</v>
      </c>
      <c r="C83" s="74">
        <v>61.1</v>
      </c>
      <c r="D83" s="74">
        <v>11</v>
      </c>
      <c r="E83" s="74">
        <v>61.1</v>
      </c>
      <c r="F83" s="73" t="s">
        <v>433</v>
      </c>
      <c r="G83" s="72">
        <v>0</v>
      </c>
      <c r="H83" s="72">
        <v>0</v>
      </c>
      <c r="I83" s="72" t="s">
        <v>441</v>
      </c>
      <c r="J83" s="72">
        <v>0</v>
      </c>
      <c r="K83" s="72">
        <v>0</v>
      </c>
      <c r="L83" s="72" t="s">
        <v>441</v>
      </c>
      <c r="M83" s="73">
        <v>0</v>
      </c>
      <c r="N83" s="73">
        <v>280</v>
      </c>
      <c r="O83" s="73">
        <v>61.1</v>
      </c>
      <c r="P83" s="73">
        <v>1</v>
      </c>
      <c r="Q83" s="73">
        <v>400</v>
      </c>
      <c r="R83" s="73">
        <v>75</v>
      </c>
      <c r="S83" s="73">
        <f>R83*0.4</f>
        <v>30</v>
      </c>
      <c r="T83" s="73">
        <v>15</v>
      </c>
      <c r="U83" s="73">
        <v>15</v>
      </c>
      <c r="V83" s="73">
        <v>15</v>
      </c>
      <c r="W83" s="73">
        <v>0</v>
      </c>
      <c r="X83" s="73">
        <v>0</v>
      </c>
    </row>
    <row r="84" spans="1:24" s="59" customFormat="1" ht="18.75" customHeight="1">
      <c r="A84" s="162" t="s">
        <v>6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3"/>
    </row>
    <row r="85" spans="1:24" s="59" customFormat="1" ht="18.75">
      <c r="A85" s="71">
        <v>2</v>
      </c>
      <c r="B85" s="74">
        <v>11</v>
      </c>
      <c r="C85" s="74">
        <v>61.1</v>
      </c>
      <c r="D85" s="74">
        <v>11</v>
      </c>
      <c r="E85" s="74">
        <v>61.1</v>
      </c>
      <c r="F85" s="73" t="s">
        <v>433</v>
      </c>
      <c r="G85" s="72">
        <v>0</v>
      </c>
      <c r="H85" s="72">
        <v>0</v>
      </c>
      <c r="I85" s="72" t="s">
        <v>441</v>
      </c>
      <c r="J85" s="72">
        <v>0</v>
      </c>
      <c r="K85" s="72">
        <v>0</v>
      </c>
      <c r="L85" s="72" t="s">
        <v>441</v>
      </c>
      <c r="M85" s="73">
        <v>0</v>
      </c>
      <c r="N85" s="73">
        <v>280</v>
      </c>
      <c r="O85" s="73">
        <v>61.1</v>
      </c>
      <c r="P85" s="73">
        <v>0</v>
      </c>
      <c r="Q85" s="73">
        <v>0</v>
      </c>
      <c r="R85" s="73">
        <v>75</v>
      </c>
      <c r="S85" s="73">
        <v>30</v>
      </c>
      <c r="T85" s="73">
        <v>15</v>
      </c>
      <c r="U85" s="73">
        <v>15</v>
      </c>
      <c r="V85" s="73">
        <v>15</v>
      </c>
      <c r="W85" s="73">
        <v>0</v>
      </c>
      <c r="X85" s="73">
        <v>0</v>
      </c>
    </row>
    <row r="86" spans="1:24" s="59" customFormat="1" ht="18.75" customHeight="1">
      <c r="A86" s="162" t="s">
        <v>7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3"/>
    </row>
    <row r="87" spans="1:24" s="59" customFormat="1" ht="18.75">
      <c r="A87" s="71">
        <v>3</v>
      </c>
      <c r="B87" s="72">
        <v>27</v>
      </c>
      <c r="C87" s="72">
        <v>150</v>
      </c>
      <c r="D87" s="72">
        <v>27</v>
      </c>
      <c r="E87" s="72">
        <v>150</v>
      </c>
      <c r="F87" s="73" t="s">
        <v>433</v>
      </c>
      <c r="G87" s="72">
        <v>0</v>
      </c>
      <c r="H87" s="72">
        <v>0</v>
      </c>
      <c r="I87" s="72" t="s">
        <v>441</v>
      </c>
      <c r="J87" s="72">
        <v>0</v>
      </c>
      <c r="K87" s="72">
        <v>0</v>
      </c>
      <c r="L87" s="72" t="s">
        <v>441</v>
      </c>
      <c r="M87" s="73">
        <v>0</v>
      </c>
      <c r="N87" s="73">
        <v>320</v>
      </c>
      <c r="O87" s="73" t="s">
        <v>719</v>
      </c>
      <c r="P87" s="73">
        <v>0</v>
      </c>
      <c r="Q87" s="73">
        <v>0</v>
      </c>
      <c r="R87" s="73">
        <v>105</v>
      </c>
      <c r="S87" s="73">
        <f>R87*0.4</f>
        <v>42</v>
      </c>
      <c r="T87" s="73">
        <v>21</v>
      </c>
      <c r="U87" s="73">
        <v>21</v>
      </c>
      <c r="V87" s="73">
        <v>21</v>
      </c>
      <c r="W87" s="73">
        <v>0</v>
      </c>
      <c r="X87" s="73">
        <v>0</v>
      </c>
    </row>
    <row r="88" spans="1:24" s="59" customFormat="1" ht="18.75" customHeight="1">
      <c r="A88" s="162" t="s">
        <v>8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3"/>
    </row>
    <row r="89" spans="1:24" s="59" customFormat="1" ht="18.75">
      <c r="A89" s="71">
        <v>4</v>
      </c>
      <c r="B89" s="74">
        <v>13</v>
      </c>
      <c r="C89" s="74">
        <v>72.7</v>
      </c>
      <c r="D89" s="74">
        <v>13</v>
      </c>
      <c r="E89" s="74">
        <v>72.7</v>
      </c>
      <c r="F89" s="73" t="s">
        <v>433</v>
      </c>
      <c r="G89" s="72">
        <v>0</v>
      </c>
      <c r="H89" s="72">
        <v>0</v>
      </c>
      <c r="I89" s="72" t="s">
        <v>441</v>
      </c>
      <c r="J89" s="72">
        <v>0</v>
      </c>
      <c r="K89" s="72">
        <v>0</v>
      </c>
      <c r="L89" s="72" t="s">
        <v>441</v>
      </c>
      <c r="M89" s="73">
        <v>0</v>
      </c>
      <c r="N89" s="73">
        <v>280</v>
      </c>
      <c r="O89" s="73">
        <v>72.8</v>
      </c>
      <c r="P89" s="73">
        <v>0</v>
      </c>
      <c r="Q89" s="73">
        <v>0</v>
      </c>
      <c r="R89" s="73">
        <v>85</v>
      </c>
      <c r="S89" s="73">
        <f>R89*0.4</f>
        <v>34</v>
      </c>
      <c r="T89" s="73">
        <v>17</v>
      </c>
      <c r="U89" s="73">
        <v>17</v>
      </c>
      <c r="V89" s="73">
        <v>17</v>
      </c>
      <c r="W89" s="73">
        <v>0</v>
      </c>
      <c r="X89" s="73">
        <v>0</v>
      </c>
    </row>
    <row r="90" spans="1:24" s="59" customFormat="1" ht="18.75" customHeight="1">
      <c r="A90" s="162" t="s">
        <v>9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3"/>
    </row>
    <row r="91" spans="1:25" s="59" customFormat="1" ht="18.75">
      <c r="A91" s="71">
        <v>5</v>
      </c>
      <c r="B91" s="74">
        <v>10</v>
      </c>
      <c r="C91" s="74">
        <v>24</v>
      </c>
      <c r="D91" s="74">
        <v>10</v>
      </c>
      <c r="E91" s="74">
        <v>24</v>
      </c>
      <c r="F91" s="73" t="s">
        <v>433</v>
      </c>
      <c r="G91" s="72">
        <v>0</v>
      </c>
      <c r="H91" s="72">
        <v>0</v>
      </c>
      <c r="I91" s="72" t="s">
        <v>441</v>
      </c>
      <c r="J91" s="72">
        <v>0</v>
      </c>
      <c r="K91" s="72">
        <v>0</v>
      </c>
      <c r="L91" s="72" t="s">
        <v>441</v>
      </c>
      <c r="M91" s="73">
        <v>0</v>
      </c>
      <c r="N91" s="73">
        <v>250</v>
      </c>
      <c r="O91" s="73">
        <v>55</v>
      </c>
      <c r="P91" s="73">
        <v>0</v>
      </c>
      <c r="Q91" s="73">
        <v>0</v>
      </c>
      <c r="R91" s="73">
        <v>60</v>
      </c>
      <c r="S91" s="73">
        <v>24</v>
      </c>
      <c r="T91" s="73">
        <v>12</v>
      </c>
      <c r="U91" s="73">
        <v>12</v>
      </c>
      <c r="V91" s="73">
        <v>12</v>
      </c>
      <c r="W91" s="73">
        <v>0</v>
      </c>
      <c r="X91" s="73">
        <v>0</v>
      </c>
      <c r="Y91" s="59" t="s">
        <v>699</v>
      </c>
    </row>
    <row r="92" spans="1:24" s="59" customFormat="1" ht="36">
      <c r="A92" s="15" t="s">
        <v>431</v>
      </c>
      <c r="B92" s="74">
        <v>72</v>
      </c>
      <c r="C92" s="74">
        <v>400</v>
      </c>
      <c r="D92" s="74">
        <v>72</v>
      </c>
      <c r="E92" s="74">
        <v>400</v>
      </c>
      <c r="F92" s="73" t="s">
        <v>433</v>
      </c>
      <c r="G92" s="72">
        <f aca="true" t="shared" si="13" ref="G92:L92">G91</f>
        <v>0</v>
      </c>
      <c r="H92" s="72">
        <f t="shared" si="13"/>
        <v>0</v>
      </c>
      <c r="I92" s="72" t="str">
        <f t="shared" si="13"/>
        <v>-</v>
      </c>
      <c r="J92" s="72">
        <f t="shared" si="13"/>
        <v>0</v>
      </c>
      <c r="K92" s="72">
        <f t="shared" si="13"/>
        <v>0</v>
      </c>
      <c r="L92" s="72" t="str">
        <f t="shared" si="13"/>
        <v>-</v>
      </c>
      <c r="M92" s="73">
        <v>0</v>
      </c>
      <c r="N92" s="73">
        <v>1410</v>
      </c>
      <c r="O92" s="73">
        <v>400</v>
      </c>
      <c r="P92" s="73">
        <v>1</v>
      </c>
      <c r="Q92" s="73">
        <v>400</v>
      </c>
      <c r="R92" s="73">
        <v>400</v>
      </c>
      <c r="S92" s="73">
        <v>160</v>
      </c>
      <c r="T92" s="73">
        <v>80</v>
      </c>
      <c r="U92" s="73">
        <v>80</v>
      </c>
      <c r="V92" s="73">
        <v>80</v>
      </c>
      <c r="W92" s="73">
        <v>0</v>
      </c>
      <c r="X92" s="73">
        <v>0</v>
      </c>
    </row>
    <row r="93" spans="1:24" s="59" customFormat="1" ht="18.75" customHeight="1">
      <c r="A93" s="162" t="s">
        <v>728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3"/>
    </row>
    <row r="94" spans="1:24" s="59" customFormat="1" ht="18.75">
      <c r="A94" s="71">
        <v>1</v>
      </c>
      <c r="B94" s="74">
        <v>320</v>
      </c>
      <c r="C94" s="74">
        <v>222</v>
      </c>
      <c r="D94" s="74">
        <v>320</v>
      </c>
      <c r="E94" s="74">
        <v>222</v>
      </c>
      <c r="F94" s="73" t="s">
        <v>433</v>
      </c>
      <c r="G94" s="72">
        <v>0</v>
      </c>
      <c r="H94" s="72">
        <v>0</v>
      </c>
      <c r="I94" s="72" t="s">
        <v>441</v>
      </c>
      <c r="J94" s="72">
        <v>0</v>
      </c>
      <c r="K94" s="72">
        <v>0</v>
      </c>
      <c r="L94" s="72" t="s">
        <v>441</v>
      </c>
      <c r="M94" s="73">
        <v>0</v>
      </c>
      <c r="N94" s="73">
        <v>2265</v>
      </c>
      <c r="O94" s="73">
        <v>222</v>
      </c>
      <c r="P94" s="73">
        <v>1</v>
      </c>
      <c r="Q94" s="73">
        <v>250</v>
      </c>
      <c r="R94" s="73">
        <v>562</v>
      </c>
      <c r="S94" s="73">
        <f>R94*0.4</f>
        <v>224.8</v>
      </c>
      <c r="T94" s="73">
        <f>R94*0.2</f>
        <v>112.4</v>
      </c>
      <c r="U94" s="73">
        <v>112.4</v>
      </c>
      <c r="V94" s="73">
        <v>112.4</v>
      </c>
      <c r="W94" s="73">
        <v>0</v>
      </c>
      <c r="X94" s="73">
        <v>0</v>
      </c>
    </row>
    <row r="95" spans="1:24" s="59" customFormat="1" ht="18.75" customHeight="1">
      <c r="A95" s="162" t="s">
        <v>729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3"/>
    </row>
    <row r="96" spans="1:24" s="59" customFormat="1" ht="18.75">
      <c r="A96" s="71">
        <v>1</v>
      </c>
      <c r="B96" s="74">
        <v>85</v>
      </c>
      <c r="C96" s="74">
        <v>425</v>
      </c>
      <c r="D96" s="74">
        <v>85</v>
      </c>
      <c r="E96" s="74">
        <v>425</v>
      </c>
      <c r="F96" s="73" t="s">
        <v>433</v>
      </c>
      <c r="G96" s="72">
        <v>0</v>
      </c>
      <c r="H96" s="72">
        <v>0</v>
      </c>
      <c r="I96" s="72" t="s">
        <v>441</v>
      </c>
      <c r="J96" s="72">
        <v>0</v>
      </c>
      <c r="K96" s="72">
        <v>0</v>
      </c>
      <c r="L96" s="72" t="s">
        <v>441</v>
      </c>
      <c r="M96" s="73">
        <v>100</v>
      </c>
      <c r="N96" s="73">
        <v>1820</v>
      </c>
      <c r="O96" s="73">
        <v>425</v>
      </c>
      <c r="P96" s="73">
        <v>1</v>
      </c>
      <c r="Q96" s="73">
        <v>400</v>
      </c>
      <c r="R96" s="73">
        <v>750</v>
      </c>
      <c r="S96" s="73">
        <f>R96*0.4</f>
        <v>300</v>
      </c>
      <c r="T96" s="73">
        <v>150</v>
      </c>
      <c r="U96" s="73">
        <v>150</v>
      </c>
      <c r="V96" s="73">
        <v>150</v>
      </c>
      <c r="W96" s="73">
        <v>0</v>
      </c>
      <c r="X96" s="73">
        <v>0</v>
      </c>
    </row>
    <row r="97" spans="1:24" s="59" customFormat="1" ht="18.75" customHeight="1">
      <c r="A97" s="162" t="s">
        <v>730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3"/>
    </row>
    <row r="98" spans="1:24" s="59" customFormat="1" ht="18.75">
      <c r="A98" s="71">
        <v>2</v>
      </c>
      <c r="B98" s="74">
        <v>55</v>
      </c>
      <c r="C98" s="74">
        <v>275</v>
      </c>
      <c r="D98" s="74">
        <v>55</v>
      </c>
      <c r="E98" s="74">
        <v>275</v>
      </c>
      <c r="F98" s="73" t="s">
        <v>433</v>
      </c>
      <c r="G98" s="72">
        <v>0</v>
      </c>
      <c r="H98" s="72">
        <v>0</v>
      </c>
      <c r="I98" s="72" t="s">
        <v>441</v>
      </c>
      <c r="J98" s="72">
        <v>0</v>
      </c>
      <c r="K98" s="72">
        <v>0</v>
      </c>
      <c r="L98" s="72" t="s">
        <v>441</v>
      </c>
      <c r="M98" s="73">
        <v>0</v>
      </c>
      <c r="N98" s="73">
        <v>880</v>
      </c>
      <c r="O98" s="73">
        <v>275</v>
      </c>
      <c r="P98" s="73">
        <v>1</v>
      </c>
      <c r="Q98" s="73">
        <v>250</v>
      </c>
      <c r="R98" s="73">
        <v>300</v>
      </c>
      <c r="S98" s="73">
        <v>120</v>
      </c>
      <c r="T98" s="73">
        <v>60</v>
      </c>
      <c r="U98" s="73">
        <v>60</v>
      </c>
      <c r="V98" s="73">
        <v>60</v>
      </c>
      <c r="W98" s="73">
        <v>0</v>
      </c>
      <c r="X98" s="73">
        <v>0</v>
      </c>
    </row>
    <row r="99" spans="1:24" s="59" customFormat="1" ht="36">
      <c r="A99" s="15" t="s">
        <v>431</v>
      </c>
      <c r="B99" s="74">
        <f>B98+B96</f>
        <v>140</v>
      </c>
      <c r="C99" s="74">
        <f aca="true" t="shared" si="14" ref="C99:X99">C98+C96</f>
        <v>700</v>
      </c>
      <c r="D99" s="74">
        <f t="shared" si="14"/>
        <v>140</v>
      </c>
      <c r="E99" s="74">
        <v>700</v>
      </c>
      <c r="F99" s="73" t="s">
        <v>433</v>
      </c>
      <c r="G99" s="72">
        <f t="shared" si="14"/>
        <v>0</v>
      </c>
      <c r="H99" s="72">
        <f t="shared" si="14"/>
        <v>0</v>
      </c>
      <c r="I99" s="72" t="s">
        <v>441</v>
      </c>
      <c r="J99" s="72">
        <f t="shared" si="14"/>
        <v>0</v>
      </c>
      <c r="K99" s="72">
        <f t="shared" si="14"/>
        <v>0</v>
      </c>
      <c r="L99" s="72" t="s">
        <v>441</v>
      </c>
      <c r="M99" s="73">
        <f t="shared" si="14"/>
        <v>100</v>
      </c>
      <c r="N99" s="73">
        <f t="shared" si="14"/>
        <v>2700</v>
      </c>
      <c r="O99" s="73">
        <v>700</v>
      </c>
      <c r="P99" s="73">
        <f t="shared" si="14"/>
        <v>2</v>
      </c>
      <c r="Q99" s="73">
        <f t="shared" si="14"/>
        <v>650</v>
      </c>
      <c r="R99" s="73">
        <f t="shared" si="14"/>
        <v>1050</v>
      </c>
      <c r="S99" s="73">
        <f t="shared" si="14"/>
        <v>420</v>
      </c>
      <c r="T99" s="73">
        <f t="shared" si="14"/>
        <v>210</v>
      </c>
      <c r="U99" s="73">
        <f t="shared" si="14"/>
        <v>210</v>
      </c>
      <c r="V99" s="73">
        <f t="shared" si="14"/>
        <v>210</v>
      </c>
      <c r="W99" s="73">
        <f t="shared" si="14"/>
        <v>0</v>
      </c>
      <c r="X99" s="73">
        <f t="shared" si="14"/>
        <v>0</v>
      </c>
    </row>
    <row r="100" spans="1:24" s="59" customFormat="1" ht="18.75" customHeight="1">
      <c r="A100" s="162" t="s">
        <v>731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3"/>
    </row>
    <row r="101" spans="1:24" s="59" customFormat="1" ht="18.75">
      <c r="A101" s="71">
        <v>1</v>
      </c>
      <c r="B101" s="74">
        <v>40</v>
      </c>
      <c r="C101" s="74">
        <v>250</v>
      </c>
      <c r="D101" s="74">
        <v>40</v>
      </c>
      <c r="E101" s="74">
        <v>250</v>
      </c>
      <c r="F101" s="73" t="s">
        <v>433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3">
        <v>0</v>
      </c>
      <c r="N101" s="73">
        <v>1200</v>
      </c>
      <c r="O101" s="73">
        <v>250</v>
      </c>
      <c r="P101" s="73">
        <v>1</v>
      </c>
      <c r="Q101" s="73">
        <v>250</v>
      </c>
      <c r="R101" s="73">
        <v>295</v>
      </c>
      <c r="S101" s="73">
        <f>R101*0.4</f>
        <v>118</v>
      </c>
      <c r="T101" s="73">
        <f>R101*0.2</f>
        <v>59</v>
      </c>
      <c r="U101" s="73">
        <v>59</v>
      </c>
      <c r="V101" s="73">
        <v>59</v>
      </c>
      <c r="W101" s="73">
        <v>0</v>
      </c>
      <c r="X101" s="73">
        <v>0</v>
      </c>
    </row>
    <row r="102" spans="1:25" ht="36" outlineLevel="1">
      <c r="A102" s="15" t="s">
        <v>437</v>
      </c>
      <c r="B102" s="8">
        <f>B62+B64+B66+B33+B45+B60+B101+B99+B94+B92+B81+B74+B72+B70+B68</f>
        <v>1799</v>
      </c>
      <c r="C102" s="8">
        <f aca="true" t="shared" si="15" ref="C102:X102">C62+C64+C66+C33+C45+C60+C101+C99+C94+C92+C81+C74+C72+C70+C68</f>
        <v>5477.26525</v>
      </c>
      <c r="D102" s="8">
        <f t="shared" si="15"/>
        <v>1799</v>
      </c>
      <c r="E102" s="8">
        <f t="shared" si="15"/>
        <v>5477.26525</v>
      </c>
      <c r="F102" s="8" t="s">
        <v>433</v>
      </c>
      <c r="G102" s="8">
        <f t="shared" si="15"/>
        <v>0</v>
      </c>
      <c r="H102" s="8">
        <f t="shared" si="15"/>
        <v>0</v>
      </c>
      <c r="I102" s="8" t="s">
        <v>698</v>
      </c>
      <c r="J102" s="8">
        <f t="shared" si="15"/>
        <v>0</v>
      </c>
      <c r="K102" s="8">
        <f t="shared" si="15"/>
        <v>0</v>
      </c>
      <c r="L102" s="8" t="s">
        <v>698</v>
      </c>
      <c r="M102" s="8">
        <f t="shared" si="15"/>
        <v>3048</v>
      </c>
      <c r="N102" s="8">
        <f t="shared" si="15"/>
        <v>45802</v>
      </c>
      <c r="O102" s="8">
        <f t="shared" si="15"/>
        <v>5756.431793478261</v>
      </c>
      <c r="P102" s="8">
        <f t="shared" si="15"/>
        <v>39</v>
      </c>
      <c r="Q102" s="8">
        <f t="shared" si="15"/>
        <v>5930.4</v>
      </c>
      <c r="R102" s="8">
        <f t="shared" si="15"/>
        <v>9059.3016735</v>
      </c>
      <c r="S102" s="8">
        <f t="shared" si="15"/>
        <v>3623.7206694</v>
      </c>
      <c r="T102" s="8">
        <f t="shared" si="15"/>
        <v>1811.8603347</v>
      </c>
      <c r="U102" s="8">
        <f t="shared" si="15"/>
        <v>1811.8403347</v>
      </c>
      <c r="V102" s="8">
        <f t="shared" si="15"/>
        <v>1811.8403347</v>
      </c>
      <c r="W102" s="8">
        <f t="shared" si="15"/>
        <v>0</v>
      </c>
      <c r="X102" s="8">
        <f t="shared" si="15"/>
        <v>0</v>
      </c>
      <c r="Y102" s="4">
        <f t="shared" si="0"/>
        <v>3623.6806694</v>
      </c>
    </row>
    <row r="103" spans="1:25" ht="18" outlineLevel="1">
      <c r="A103" s="177" t="s">
        <v>432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4">
        <f t="shared" si="0"/>
        <v>0</v>
      </c>
    </row>
    <row r="104" spans="1:25" ht="12.75" customHeight="1" outlineLevel="2">
      <c r="A104" s="170">
        <v>1</v>
      </c>
      <c r="B104" s="162" t="s">
        <v>526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4">
        <f t="shared" si="0"/>
        <v>0</v>
      </c>
    </row>
    <row r="105" spans="1:25" ht="18" outlineLevel="2">
      <c r="A105" s="170"/>
      <c r="B105" s="5">
        <f>D105+G105+J105</f>
        <v>41</v>
      </c>
      <c r="C105" s="8">
        <f>E105+H105+K105</f>
        <v>108.48599999999999</v>
      </c>
      <c r="D105" s="5">
        <v>41</v>
      </c>
      <c r="E105" s="8">
        <f>D105*FORECAST(D105,AA$12:AA$13,Z$12:Z$13)</f>
        <v>108.48599999999999</v>
      </c>
      <c r="F105" s="5" t="s">
        <v>433</v>
      </c>
      <c r="G105" s="5"/>
      <c r="H105" s="5"/>
      <c r="I105" s="5"/>
      <c r="J105" s="5"/>
      <c r="K105" s="5"/>
      <c r="L105" s="5"/>
      <c r="M105" s="5"/>
      <c r="N105" s="5">
        <v>1520</v>
      </c>
      <c r="O105" s="8">
        <f>C105/0.92</f>
        <v>117.9195652173913</v>
      </c>
      <c r="P105" s="5">
        <v>1</v>
      </c>
      <c r="Q105" s="5">
        <v>150</v>
      </c>
      <c r="R105" s="8">
        <f>1.454*C105</f>
        <v>157.738644</v>
      </c>
      <c r="S105" s="9">
        <f>E105*1.454*0.4</f>
        <v>63.0954576</v>
      </c>
      <c r="T105" s="9">
        <f>E105*1.454*0.2</f>
        <v>31.5477288</v>
      </c>
      <c r="U105" s="9">
        <f>E105*1.454*0.2</f>
        <v>31.5477288</v>
      </c>
      <c r="V105" s="9">
        <f>E105*1.454*0.2</f>
        <v>31.5477288</v>
      </c>
      <c r="W105" s="9">
        <f>H105*1.454</f>
        <v>0</v>
      </c>
      <c r="X105" s="9">
        <f>K105*1.454</f>
        <v>0</v>
      </c>
      <c r="Y105" s="4">
        <f t="shared" si="0"/>
        <v>63.0954576</v>
      </c>
    </row>
    <row r="106" spans="1:25" ht="12.75" customHeight="1" outlineLevel="2">
      <c r="A106" s="160">
        <v>1</v>
      </c>
      <c r="B106" s="162" t="s">
        <v>527</v>
      </c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4">
        <f t="shared" si="0"/>
        <v>0</v>
      </c>
    </row>
    <row r="107" spans="1:25" ht="18" outlineLevel="2">
      <c r="A107" s="160"/>
      <c r="B107" s="5">
        <f>D107+G107+J107</f>
        <v>64</v>
      </c>
      <c r="C107" s="8">
        <f>E107+H107+K107</f>
        <v>150.912</v>
      </c>
      <c r="D107" s="5">
        <v>64</v>
      </c>
      <c r="E107" s="8">
        <f>D107*FORECAST(D107,AA$13:AA$14,Z$13:Z$14)</f>
        <v>150.912</v>
      </c>
      <c r="F107" s="5" t="s">
        <v>433</v>
      </c>
      <c r="G107" s="5"/>
      <c r="H107" s="5"/>
      <c r="I107" s="5"/>
      <c r="J107" s="5"/>
      <c r="K107" s="5"/>
      <c r="L107" s="5"/>
      <c r="M107" s="5"/>
      <c r="N107" s="5">
        <v>3450</v>
      </c>
      <c r="O107" s="8">
        <f>C107/0.92</f>
        <v>164.03478260869565</v>
      </c>
      <c r="P107" s="5">
        <v>2</v>
      </c>
      <c r="Q107" s="5">
        <v>100</v>
      </c>
      <c r="R107" s="8">
        <f>1.454*C107</f>
        <v>219.426048</v>
      </c>
      <c r="S107" s="9">
        <f>E107*1.454*0.4</f>
        <v>87.7704192</v>
      </c>
      <c r="T107" s="9">
        <f>E107*1.454*0.2</f>
        <v>43.8852096</v>
      </c>
      <c r="U107" s="9">
        <f>E107*1.454*0.2</f>
        <v>43.8852096</v>
      </c>
      <c r="V107" s="9">
        <f>E107*1.454*0.2</f>
        <v>43.8852096</v>
      </c>
      <c r="W107" s="9">
        <f>H107*1.454</f>
        <v>0</v>
      </c>
      <c r="X107" s="9">
        <f>K107*1.454</f>
        <v>0</v>
      </c>
      <c r="Y107" s="4">
        <f t="shared" si="0"/>
        <v>87.7704192</v>
      </c>
    </row>
    <row r="108" spans="1:25" ht="36" outlineLevel="1">
      <c r="A108" s="15" t="s">
        <v>438</v>
      </c>
      <c r="B108" s="5">
        <f>B107+B105</f>
        <v>105</v>
      </c>
      <c r="C108" s="8">
        <f>C107+C105</f>
        <v>259.398</v>
      </c>
      <c r="D108" s="5">
        <f>D107+D105</f>
        <v>105</v>
      </c>
      <c r="E108" s="8">
        <f>E107+E105</f>
        <v>259.398</v>
      </c>
      <c r="F108" s="5" t="s">
        <v>433</v>
      </c>
      <c r="G108" s="5">
        <f>G107+G105</f>
        <v>0</v>
      </c>
      <c r="H108" s="5">
        <f>H107+H105</f>
        <v>0</v>
      </c>
      <c r="I108" s="5" t="s">
        <v>441</v>
      </c>
      <c r="J108" s="5">
        <f>J107+J105</f>
        <v>0</v>
      </c>
      <c r="K108" s="5">
        <f>K107+K105</f>
        <v>0</v>
      </c>
      <c r="L108" s="5" t="s">
        <v>441</v>
      </c>
      <c r="M108" s="5">
        <f aca="true" t="shared" si="16" ref="M108:R108">M107+M105</f>
        <v>0</v>
      </c>
      <c r="N108" s="5">
        <f t="shared" si="16"/>
        <v>4970</v>
      </c>
      <c r="O108" s="8">
        <f t="shared" si="16"/>
        <v>281.954347826087</v>
      </c>
      <c r="P108" s="5">
        <f t="shared" si="16"/>
        <v>3</v>
      </c>
      <c r="Q108" s="5">
        <f t="shared" si="16"/>
        <v>250</v>
      </c>
      <c r="R108" s="8">
        <f t="shared" si="16"/>
        <v>377.164692</v>
      </c>
      <c r="S108" s="8">
        <f aca="true" t="shared" si="17" ref="S108:X108">S107+S105</f>
        <v>150.86587680000002</v>
      </c>
      <c r="T108" s="8">
        <f t="shared" si="17"/>
        <v>75.43293840000001</v>
      </c>
      <c r="U108" s="8">
        <f t="shared" si="17"/>
        <v>75.43293840000001</v>
      </c>
      <c r="V108" s="8">
        <f t="shared" si="17"/>
        <v>75.43293840000001</v>
      </c>
      <c r="W108" s="8">
        <f t="shared" si="17"/>
        <v>0</v>
      </c>
      <c r="X108" s="8">
        <f t="shared" si="17"/>
        <v>0</v>
      </c>
      <c r="Y108" s="4">
        <f t="shared" si="0"/>
        <v>150.86587680000002</v>
      </c>
    </row>
    <row r="109" spans="1:25" ht="88.5" customHeight="1">
      <c r="A109" s="15" t="s">
        <v>732</v>
      </c>
      <c r="B109" s="29">
        <f>B102+B108</f>
        <v>1904</v>
      </c>
      <c r="C109" s="8">
        <f aca="true" t="shared" si="18" ref="C109:X109">C102+C108</f>
        <v>5736.6632500000005</v>
      </c>
      <c r="D109" s="5">
        <f t="shared" si="18"/>
        <v>1904</v>
      </c>
      <c r="E109" s="8">
        <f t="shared" si="18"/>
        <v>5736.6632500000005</v>
      </c>
      <c r="F109" s="5" t="s">
        <v>433</v>
      </c>
      <c r="G109" s="5">
        <f t="shared" si="18"/>
        <v>0</v>
      </c>
      <c r="H109" s="5">
        <f t="shared" si="18"/>
        <v>0</v>
      </c>
      <c r="I109" s="5" t="s">
        <v>698</v>
      </c>
      <c r="J109" s="5">
        <f t="shared" si="18"/>
        <v>0</v>
      </c>
      <c r="K109" s="5">
        <f t="shared" si="18"/>
        <v>0</v>
      </c>
      <c r="L109" s="5" t="s">
        <v>698</v>
      </c>
      <c r="M109" s="5">
        <f t="shared" si="18"/>
        <v>3048</v>
      </c>
      <c r="N109" s="5">
        <f t="shared" si="18"/>
        <v>50772</v>
      </c>
      <c r="O109" s="8">
        <f t="shared" si="18"/>
        <v>6038.386141304348</v>
      </c>
      <c r="P109" s="5">
        <f t="shared" si="18"/>
        <v>42</v>
      </c>
      <c r="Q109" s="5">
        <f t="shared" si="18"/>
        <v>6180.4</v>
      </c>
      <c r="R109" s="8">
        <f t="shared" si="18"/>
        <v>9436.4663655</v>
      </c>
      <c r="S109" s="8">
        <f t="shared" si="18"/>
        <v>3774.5865462</v>
      </c>
      <c r="T109" s="8">
        <f t="shared" si="18"/>
        <v>1887.2932731</v>
      </c>
      <c r="U109" s="8">
        <f t="shared" si="18"/>
        <v>1887.2732731</v>
      </c>
      <c r="V109" s="8">
        <f t="shared" si="18"/>
        <v>1887.2732731</v>
      </c>
      <c r="W109" s="5">
        <f t="shared" si="18"/>
        <v>0</v>
      </c>
      <c r="X109" s="5">
        <f t="shared" si="18"/>
        <v>0</v>
      </c>
      <c r="Y109" s="4">
        <f t="shared" si="0"/>
        <v>3774.5465462</v>
      </c>
    </row>
    <row r="110" spans="1:25" ht="18">
      <c r="A110" s="176" t="s">
        <v>468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4">
        <f t="shared" si="0"/>
        <v>0</v>
      </c>
    </row>
    <row r="111" spans="1:25" ht="18.75" outlineLevel="1">
      <c r="A111" s="13">
        <v>1</v>
      </c>
      <c r="B111" s="13">
        <v>2</v>
      </c>
      <c r="C111" s="13">
        <v>3</v>
      </c>
      <c r="D111" s="13">
        <v>4</v>
      </c>
      <c r="E111" s="13">
        <v>5</v>
      </c>
      <c r="F111" s="13">
        <v>6</v>
      </c>
      <c r="G111" s="13">
        <v>7</v>
      </c>
      <c r="H111" s="13">
        <v>8</v>
      </c>
      <c r="I111" s="13">
        <v>9</v>
      </c>
      <c r="J111" s="13">
        <v>10</v>
      </c>
      <c r="K111" s="13">
        <v>11</v>
      </c>
      <c r="L111" s="13">
        <v>12</v>
      </c>
      <c r="M111" s="13">
        <v>13</v>
      </c>
      <c r="N111" s="13">
        <v>14</v>
      </c>
      <c r="O111" s="13">
        <v>15</v>
      </c>
      <c r="P111" s="13">
        <v>16</v>
      </c>
      <c r="Q111" s="13">
        <v>17</v>
      </c>
      <c r="R111" s="13">
        <v>18</v>
      </c>
      <c r="S111" s="89">
        <v>19</v>
      </c>
      <c r="T111" s="14">
        <v>20</v>
      </c>
      <c r="U111" s="14">
        <v>21</v>
      </c>
      <c r="V111" s="14">
        <v>22</v>
      </c>
      <c r="W111" s="14">
        <v>23</v>
      </c>
      <c r="X111" s="14">
        <v>24</v>
      </c>
      <c r="Y111" s="4">
        <f aca="true" t="shared" si="19" ref="Y111:Y174">U111*2</f>
        <v>42</v>
      </c>
    </row>
    <row r="112" spans="1:25" ht="12.75" customHeight="1" outlineLevel="1">
      <c r="A112" s="177" t="s">
        <v>430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4">
        <f t="shared" si="19"/>
        <v>0</v>
      </c>
    </row>
    <row r="113" spans="1:25" ht="12.75" customHeight="1" outlineLevel="2">
      <c r="A113" s="160">
        <v>1</v>
      </c>
      <c r="B113" s="162" t="s">
        <v>133</v>
      </c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4">
        <f t="shared" si="19"/>
        <v>0</v>
      </c>
    </row>
    <row r="114" spans="1:25" ht="18" outlineLevel="2">
      <c r="A114" s="160"/>
      <c r="B114" s="15">
        <f>D114+G114+J114</f>
        <v>25</v>
      </c>
      <c r="C114" s="16">
        <f>E114+H114+K114</f>
        <v>82.671875</v>
      </c>
      <c r="D114" s="15">
        <v>25</v>
      </c>
      <c r="E114" s="8">
        <f>D114*FORECAST(D114,AA$11:AA$12,Z$11:Z$12)</f>
        <v>82.671875</v>
      </c>
      <c r="F114" s="15" t="s">
        <v>433</v>
      </c>
      <c r="G114" s="15"/>
      <c r="H114" s="15"/>
      <c r="I114" s="15"/>
      <c r="J114" s="15"/>
      <c r="K114" s="15"/>
      <c r="L114" s="15"/>
      <c r="M114" s="15"/>
      <c r="N114" s="15">
        <v>600</v>
      </c>
      <c r="O114" s="8">
        <f>C114/0.92</f>
        <v>89.86073369565217</v>
      </c>
      <c r="P114" s="15">
        <v>1</v>
      </c>
      <c r="Q114" s="15">
        <v>250</v>
      </c>
      <c r="R114" s="8">
        <f>1.454*C114</f>
        <v>120.20490625</v>
      </c>
      <c r="S114" s="9">
        <f>E114*1.454*0.4</f>
        <v>48.0819625</v>
      </c>
      <c r="T114" s="9">
        <f>E114*1.454*0.2</f>
        <v>24.04098125</v>
      </c>
      <c r="U114" s="9">
        <f>E114*1.454*0.2</f>
        <v>24.04098125</v>
      </c>
      <c r="V114" s="9">
        <f>E114*1.454*0.2</f>
        <v>24.04098125</v>
      </c>
      <c r="W114" s="9">
        <f>H114*1.454</f>
        <v>0</v>
      </c>
      <c r="X114" s="9">
        <f>K114*1.454</f>
        <v>0</v>
      </c>
      <c r="Y114" s="4">
        <f t="shared" si="19"/>
        <v>48.0819625</v>
      </c>
    </row>
    <row r="115" spans="1:25" ht="12.75" customHeight="1" outlineLevel="2">
      <c r="A115" s="160">
        <v>2</v>
      </c>
      <c r="B115" s="162" t="s">
        <v>10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4">
        <f t="shared" si="19"/>
        <v>0</v>
      </c>
    </row>
    <row r="116" spans="1:25" ht="18" outlineLevel="2">
      <c r="A116" s="160"/>
      <c r="B116" s="15">
        <f>D116+G116+J116</f>
        <v>66</v>
      </c>
      <c r="C116" s="16">
        <f>E116+H116+K116</f>
        <v>154.902</v>
      </c>
      <c r="D116" s="15">
        <v>66</v>
      </c>
      <c r="E116" s="8">
        <f>D116*FORECAST(D116,AA$13:AA$14,Z$13:Z$14)</f>
        <v>154.902</v>
      </c>
      <c r="F116" s="15" t="s">
        <v>433</v>
      </c>
      <c r="G116" s="15"/>
      <c r="H116" s="15"/>
      <c r="I116" s="15"/>
      <c r="J116" s="15"/>
      <c r="K116" s="15"/>
      <c r="L116" s="15"/>
      <c r="M116" s="15"/>
      <c r="N116" s="15">
        <v>945</v>
      </c>
      <c r="O116" s="8">
        <f>C116/0.92</f>
        <v>168.37173913043475</v>
      </c>
      <c r="P116" s="15">
        <v>1</v>
      </c>
      <c r="Q116" s="15">
        <v>250</v>
      </c>
      <c r="R116" s="8">
        <f>1.454*C116</f>
        <v>225.22750799999997</v>
      </c>
      <c r="S116" s="9">
        <f>E116*1.454*0.4</f>
        <v>90.09100319999999</v>
      </c>
      <c r="T116" s="9">
        <f>E116*1.454*0.2</f>
        <v>45.045501599999994</v>
      </c>
      <c r="U116" s="9">
        <f>E116*1.454*0.2</f>
        <v>45.045501599999994</v>
      </c>
      <c r="V116" s="9">
        <f>E116*1.454*0.2</f>
        <v>45.045501599999994</v>
      </c>
      <c r="W116" s="9">
        <f>H116*1.454</f>
        <v>0</v>
      </c>
      <c r="X116" s="9">
        <f>K116*1.454</f>
        <v>0</v>
      </c>
      <c r="Y116" s="4">
        <f t="shared" si="19"/>
        <v>90.09100319999999</v>
      </c>
    </row>
    <row r="117" spans="1:25" ht="12.75" customHeight="1" outlineLevel="2">
      <c r="A117" s="160">
        <v>3</v>
      </c>
      <c r="B117" s="162" t="s">
        <v>134</v>
      </c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4">
        <f t="shared" si="19"/>
        <v>0</v>
      </c>
    </row>
    <row r="118" spans="1:25" ht="18" outlineLevel="2">
      <c r="A118" s="160"/>
      <c r="B118" s="15">
        <f>D118+G118+J118</f>
        <v>65</v>
      </c>
      <c r="C118" s="16">
        <f>E118+H118+K118</f>
        <v>152.9125</v>
      </c>
      <c r="D118" s="15">
        <v>65</v>
      </c>
      <c r="E118" s="8">
        <f>D118*FORECAST(D118,AA$13:AA$14,Z$13:Z$14)</f>
        <v>152.9125</v>
      </c>
      <c r="F118" s="15" t="s">
        <v>433</v>
      </c>
      <c r="G118" s="15"/>
      <c r="H118" s="15"/>
      <c r="I118" s="15"/>
      <c r="J118" s="15"/>
      <c r="K118" s="15"/>
      <c r="L118" s="15"/>
      <c r="M118" s="15">
        <v>200</v>
      </c>
      <c r="N118" s="15">
        <v>1050</v>
      </c>
      <c r="O118" s="8">
        <f>C118/0.92</f>
        <v>166.20923913043478</v>
      </c>
      <c r="P118" s="15">
        <v>1</v>
      </c>
      <c r="Q118" s="15">
        <v>250</v>
      </c>
      <c r="R118" s="8">
        <f>1.454*C118</f>
        <v>222.33477499999998</v>
      </c>
      <c r="S118" s="9">
        <f>E118*1.454*0.4</f>
        <v>88.93391</v>
      </c>
      <c r="T118" s="9">
        <f>E118*1.454*0.2</f>
        <v>44.466955</v>
      </c>
      <c r="U118" s="9">
        <f>E118*1.454*0.2</f>
        <v>44.466955</v>
      </c>
      <c r="V118" s="9">
        <f>E118*1.454*0.2</f>
        <v>44.466955</v>
      </c>
      <c r="W118" s="9">
        <f>H118*1.454</f>
        <v>0</v>
      </c>
      <c r="X118" s="9">
        <f>K118*1.454</f>
        <v>0</v>
      </c>
      <c r="Y118" s="4">
        <f t="shared" si="19"/>
        <v>88.93391</v>
      </c>
    </row>
    <row r="119" spans="1:25" ht="12.75" customHeight="1" outlineLevel="2">
      <c r="A119" s="160">
        <v>4</v>
      </c>
      <c r="B119" s="162" t="s">
        <v>11</v>
      </c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4">
        <f t="shared" si="19"/>
        <v>0</v>
      </c>
    </row>
    <row r="120" spans="1:25" ht="18" outlineLevel="2">
      <c r="A120" s="160"/>
      <c r="B120" s="15">
        <f>D120+G120+J120</f>
        <v>75</v>
      </c>
      <c r="C120" s="16">
        <f>E120+H120+K120</f>
        <v>172.3125</v>
      </c>
      <c r="D120" s="15">
        <v>75</v>
      </c>
      <c r="E120" s="8">
        <f>D120*FORECAST(D120,AA$13:AA$14,Z$13:Z$14)</f>
        <v>172.3125</v>
      </c>
      <c r="F120" s="15" t="s">
        <v>433</v>
      </c>
      <c r="G120" s="15"/>
      <c r="H120" s="15"/>
      <c r="I120" s="15"/>
      <c r="J120" s="15"/>
      <c r="K120" s="15"/>
      <c r="L120" s="15"/>
      <c r="M120" s="15">
        <v>60</v>
      </c>
      <c r="N120" s="15">
        <v>1500</v>
      </c>
      <c r="O120" s="8">
        <f>C120/0.92</f>
        <v>187.2961956521739</v>
      </c>
      <c r="P120" s="15">
        <v>1</v>
      </c>
      <c r="Q120" s="15">
        <v>250</v>
      </c>
      <c r="R120" s="8">
        <f>1.454*C120</f>
        <v>250.542375</v>
      </c>
      <c r="S120" s="9">
        <f>E120*1.454*0.4</f>
        <v>100.21695</v>
      </c>
      <c r="T120" s="9">
        <f>E120*1.454*0.2</f>
        <v>50.108475</v>
      </c>
      <c r="U120" s="9">
        <f>E120*1.454*0.2</f>
        <v>50.108475</v>
      </c>
      <c r="V120" s="9">
        <f>E120*1.454*0.2</f>
        <v>50.108475</v>
      </c>
      <c r="W120" s="9">
        <f>H120*1.454</f>
        <v>0</v>
      </c>
      <c r="X120" s="9">
        <f>K120*1.454</f>
        <v>0</v>
      </c>
      <c r="Y120" s="4">
        <f t="shared" si="19"/>
        <v>100.21695</v>
      </c>
    </row>
    <row r="121" spans="1:25" s="17" customFormat="1" ht="12.75" customHeight="1" outlineLevel="2">
      <c r="A121" s="160">
        <v>5</v>
      </c>
      <c r="B121" s="162" t="s">
        <v>12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4">
        <f t="shared" si="19"/>
        <v>0</v>
      </c>
    </row>
    <row r="122" spans="1:25" s="17" customFormat="1" ht="18" outlineLevel="2">
      <c r="A122" s="160"/>
      <c r="B122" s="15">
        <f>D122+G122+J122</f>
        <v>98</v>
      </c>
      <c r="C122" s="16">
        <f>E122+H122+K122</f>
        <v>252.76800000000003</v>
      </c>
      <c r="D122" s="15">
        <v>92</v>
      </c>
      <c r="E122" s="8">
        <f>D122*FORECAST(D122,AA$13:AA$14,Z$13:Z$14)</f>
        <v>202.76800000000003</v>
      </c>
      <c r="F122" s="15" t="s">
        <v>433</v>
      </c>
      <c r="G122" s="15"/>
      <c r="H122" s="15"/>
      <c r="I122" s="15"/>
      <c r="J122" s="15">
        <v>6</v>
      </c>
      <c r="K122" s="15">
        <v>50</v>
      </c>
      <c r="L122" s="15" t="s">
        <v>433</v>
      </c>
      <c r="M122" s="15">
        <v>60</v>
      </c>
      <c r="N122" s="15">
        <v>2420</v>
      </c>
      <c r="O122" s="16">
        <f>C122/0.92</f>
        <v>274.74782608695654</v>
      </c>
      <c r="P122" s="15">
        <v>1</v>
      </c>
      <c r="Q122" s="15">
        <v>250</v>
      </c>
      <c r="R122" s="16">
        <f>1.454*C122</f>
        <v>367.524672</v>
      </c>
      <c r="S122" s="18">
        <f>E122*1.454*0.4</f>
        <v>117.92986880000001</v>
      </c>
      <c r="T122" s="18">
        <f>E122*1.454*0.2</f>
        <v>58.964934400000004</v>
      </c>
      <c r="U122" s="18">
        <f>E122*1.454*0.2</f>
        <v>58.964934400000004</v>
      </c>
      <c r="V122" s="18">
        <f>E122*1.454*0.2</f>
        <v>58.964934400000004</v>
      </c>
      <c r="W122" s="18">
        <f>H122*1.454</f>
        <v>0</v>
      </c>
      <c r="X122" s="18">
        <f>K122*1.454</f>
        <v>72.7</v>
      </c>
      <c r="Y122" s="4">
        <f t="shared" si="19"/>
        <v>117.92986880000001</v>
      </c>
    </row>
    <row r="123" spans="1:25" ht="12.75" customHeight="1" outlineLevel="2">
      <c r="A123" s="160">
        <v>6</v>
      </c>
      <c r="B123" s="162" t="s">
        <v>13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4">
        <f t="shared" si="19"/>
        <v>0</v>
      </c>
    </row>
    <row r="124" spans="1:25" ht="18.75" outlineLevel="2">
      <c r="A124" s="160"/>
      <c r="B124" s="15">
        <f>D124+G124+J124</f>
        <v>20</v>
      </c>
      <c r="C124" s="15">
        <f>E124+H124+K124</f>
        <v>74.6</v>
      </c>
      <c r="D124" s="15">
        <v>20</v>
      </c>
      <c r="E124" s="8">
        <f>D124*FORECAST(D124,AA$10:AA$11,Z$10:Z$11)</f>
        <v>74.6</v>
      </c>
      <c r="F124" s="15" t="s">
        <v>433</v>
      </c>
      <c r="G124" s="13"/>
      <c r="H124" s="13"/>
      <c r="I124" s="13"/>
      <c r="J124" s="13"/>
      <c r="K124" s="13"/>
      <c r="L124" s="13"/>
      <c r="M124" s="15">
        <v>20</v>
      </c>
      <c r="N124" s="15">
        <v>500</v>
      </c>
      <c r="O124" s="8">
        <f>C124/0.92</f>
        <v>81.08695652173913</v>
      </c>
      <c r="P124" s="15">
        <v>1</v>
      </c>
      <c r="Q124" s="15">
        <v>160</v>
      </c>
      <c r="R124" s="8">
        <f>1.454*C124</f>
        <v>108.46839999999999</v>
      </c>
      <c r="S124" s="9">
        <f>E124*1.454*0.4</f>
        <v>43.38736</v>
      </c>
      <c r="T124" s="9">
        <f>E124*1.454*0.2</f>
        <v>21.69368</v>
      </c>
      <c r="U124" s="9">
        <f>E124*1.454*0.2</f>
        <v>21.69368</v>
      </c>
      <c r="V124" s="9">
        <f>E124*1.454*0.2</f>
        <v>21.69368</v>
      </c>
      <c r="W124" s="9">
        <f>H124*1.454</f>
        <v>0</v>
      </c>
      <c r="X124" s="9">
        <f>K124*1.454</f>
        <v>0</v>
      </c>
      <c r="Y124" s="4">
        <f t="shared" si="19"/>
        <v>43.38736</v>
      </c>
    </row>
    <row r="125" spans="1:25" ht="36" outlineLevel="2">
      <c r="A125" s="15" t="s">
        <v>431</v>
      </c>
      <c r="B125" s="15">
        <f>B114+B116+B118+B120+B122+B124</f>
        <v>349</v>
      </c>
      <c r="C125" s="16">
        <f>C114+C116+C118+C120+C122+C124</f>
        <v>890.166875</v>
      </c>
      <c r="D125" s="15">
        <f>D114+D116+D118+D120+D122+D124</f>
        <v>343</v>
      </c>
      <c r="E125" s="16">
        <f>E114+E116+E118+E120+E122+E124</f>
        <v>840.166875</v>
      </c>
      <c r="F125" s="15" t="s">
        <v>433</v>
      </c>
      <c r="G125" s="15">
        <f>G114+G116+G118+G120+G122+G124</f>
        <v>0</v>
      </c>
      <c r="H125" s="15">
        <f>H114+H116+H118+H120+H122+H124</f>
        <v>0</v>
      </c>
      <c r="I125" s="15" t="s">
        <v>441</v>
      </c>
      <c r="J125" s="15">
        <f>J114+J116+J118+J120+J122+J124</f>
        <v>6</v>
      </c>
      <c r="K125" s="15">
        <f>K114+K116+K118+K120+K122+K124</f>
        <v>50</v>
      </c>
      <c r="L125" s="15" t="s">
        <v>433</v>
      </c>
      <c r="M125" s="15">
        <f aca="true" t="shared" si="20" ref="M125:X125">M114+M116+M118+M120+M122+M124</f>
        <v>340</v>
      </c>
      <c r="N125" s="15">
        <f t="shared" si="20"/>
        <v>7015</v>
      </c>
      <c r="O125" s="16">
        <f t="shared" si="20"/>
        <v>967.5726902173911</v>
      </c>
      <c r="P125" s="15">
        <f t="shared" si="20"/>
        <v>6</v>
      </c>
      <c r="Q125" s="15">
        <f t="shared" si="20"/>
        <v>1410</v>
      </c>
      <c r="R125" s="16">
        <f t="shared" si="20"/>
        <v>1294.30263625</v>
      </c>
      <c r="S125" s="16">
        <f t="shared" si="20"/>
        <v>488.6410545</v>
      </c>
      <c r="T125" s="16">
        <f t="shared" si="20"/>
        <v>244.32052725</v>
      </c>
      <c r="U125" s="16">
        <f t="shared" si="20"/>
        <v>244.32052725</v>
      </c>
      <c r="V125" s="16">
        <f t="shared" si="20"/>
        <v>244.32052725</v>
      </c>
      <c r="W125" s="16">
        <f t="shared" si="20"/>
        <v>0</v>
      </c>
      <c r="X125" s="16">
        <f t="shared" si="20"/>
        <v>72.7</v>
      </c>
      <c r="Y125" s="4">
        <f t="shared" si="19"/>
        <v>488.6410545</v>
      </c>
    </row>
    <row r="126" spans="1:25" ht="12.75" customHeight="1" outlineLevel="2">
      <c r="A126" s="160">
        <v>1</v>
      </c>
      <c r="B126" s="162" t="s">
        <v>528</v>
      </c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4">
        <f t="shared" si="19"/>
        <v>0</v>
      </c>
    </row>
    <row r="127" spans="1:25" ht="18" outlineLevel="2">
      <c r="A127" s="160"/>
      <c r="B127" s="15">
        <f>D127+G127+J127</f>
        <v>128</v>
      </c>
      <c r="C127" s="16">
        <f>E127+H127+K127</f>
        <v>269.312</v>
      </c>
      <c r="D127" s="15">
        <v>128</v>
      </c>
      <c r="E127" s="8">
        <f>D127*FORECAST(D127,AA$14:AA$15,Z$14:Z$15)</f>
        <v>269.312</v>
      </c>
      <c r="F127" s="15" t="s">
        <v>433</v>
      </c>
      <c r="G127" s="15"/>
      <c r="H127" s="15"/>
      <c r="I127" s="15"/>
      <c r="J127" s="15"/>
      <c r="K127" s="15"/>
      <c r="L127" s="15"/>
      <c r="M127" s="15">
        <v>150</v>
      </c>
      <c r="N127" s="15">
        <v>480</v>
      </c>
      <c r="O127" s="8">
        <f>C127/0.92</f>
        <v>292.7304347826087</v>
      </c>
      <c r="P127" s="15">
        <v>1</v>
      </c>
      <c r="Q127" s="15">
        <v>160</v>
      </c>
      <c r="R127" s="8">
        <f>1.454*C127</f>
        <v>391.579648</v>
      </c>
      <c r="S127" s="9">
        <f>E127*1.454*0.4</f>
        <v>156.6318592</v>
      </c>
      <c r="T127" s="9">
        <f>E127*1.454*0.2</f>
        <v>78.3159296</v>
      </c>
      <c r="U127" s="9">
        <f>E127*1.454*0.2</f>
        <v>78.3159296</v>
      </c>
      <c r="V127" s="9">
        <f>E127*1.454*0.2</f>
        <v>78.3159296</v>
      </c>
      <c r="W127" s="9">
        <f>H127*1.454</f>
        <v>0</v>
      </c>
      <c r="X127" s="9">
        <f>K127*1.454</f>
        <v>0</v>
      </c>
      <c r="Y127" s="4">
        <f t="shared" si="19"/>
        <v>156.6318592</v>
      </c>
    </row>
    <row r="128" spans="1:25" ht="12.75" customHeight="1" outlineLevel="2">
      <c r="A128" s="160">
        <v>2</v>
      </c>
      <c r="B128" s="162" t="s">
        <v>135</v>
      </c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4">
        <f t="shared" si="19"/>
        <v>0</v>
      </c>
    </row>
    <row r="129" spans="1:25" ht="18" outlineLevel="2">
      <c r="A129" s="160"/>
      <c r="B129" s="15">
        <f>D129+G129+J129</f>
        <v>128</v>
      </c>
      <c r="C129" s="16">
        <f>E129+H129+K129</f>
        <v>269.312</v>
      </c>
      <c r="D129" s="15">
        <v>128</v>
      </c>
      <c r="E129" s="8">
        <f>D129*FORECAST(D129,AA$14:AA$15,Z$14:Z$15)</f>
        <v>269.312</v>
      </c>
      <c r="F129" s="15" t="s">
        <v>433</v>
      </c>
      <c r="G129" s="15"/>
      <c r="H129" s="15"/>
      <c r="I129" s="15"/>
      <c r="J129" s="15"/>
      <c r="K129" s="15"/>
      <c r="L129" s="15"/>
      <c r="M129" s="15">
        <v>250</v>
      </c>
      <c r="N129" s="15">
        <v>480</v>
      </c>
      <c r="O129" s="8">
        <f>C129/0.92</f>
        <v>292.7304347826087</v>
      </c>
      <c r="P129" s="15">
        <v>1</v>
      </c>
      <c r="Q129" s="15">
        <v>160</v>
      </c>
      <c r="R129" s="8">
        <f>1.454*C129</f>
        <v>391.579648</v>
      </c>
      <c r="S129" s="9">
        <f>E129*1.454*0.4</f>
        <v>156.6318592</v>
      </c>
      <c r="T129" s="9">
        <f>E129*1.454*0.2</f>
        <v>78.3159296</v>
      </c>
      <c r="U129" s="9">
        <f>E129*1.454*0.2</f>
        <v>78.3159296</v>
      </c>
      <c r="V129" s="9">
        <f>E129*1.454*0.2</f>
        <v>78.3159296</v>
      </c>
      <c r="W129" s="9">
        <f>H129*1.454</f>
        <v>0</v>
      </c>
      <c r="X129" s="9">
        <f>K129*1.454</f>
        <v>0</v>
      </c>
      <c r="Y129" s="4">
        <f t="shared" si="19"/>
        <v>156.6318592</v>
      </c>
    </row>
    <row r="130" spans="1:25" ht="12.75" customHeight="1" outlineLevel="2">
      <c r="A130" s="160">
        <v>3</v>
      </c>
      <c r="B130" s="162" t="s">
        <v>136</v>
      </c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4">
        <f t="shared" si="19"/>
        <v>0</v>
      </c>
    </row>
    <row r="131" spans="1:25" ht="18" outlineLevel="2">
      <c r="A131" s="160"/>
      <c r="B131" s="15">
        <f>D131+G131+J131</f>
        <v>128</v>
      </c>
      <c r="C131" s="16">
        <f>E131+H131+K131</f>
        <v>269.312</v>
      </c>
      <c r="D131" s="15">
        <v>128</v>
      </c>
      <c r="E131" s="8">
        <f>D131*FORECAST(D131,AA$14:AA$15,Z$14:Z$15)</f>
        <v>269.312</v>
      </c>
      <c r="F131" s="15" t="s">
        <v>433</v>
      </c>
      <c r="G131" s="15"/>
      <c r="H131" s="15"/>
      <c r="I131" s="15"/>
      <c r="J131" s="15"/>
      <c r="K131" s="15"/>
      <c r="L131" s="15"/>
      <c r="M131" s="15">
        <v>430</v>
      </c>
      <c r="N131" s="15">
        <v>480</v>
      </c>
      <c r="O131" s="8">
        <f>C131/0.92</f>
        <v>292.7304347826087</v>
      </c>
      <c r="P131" s="15">
        <v>1</v>
      </c>
      <c r="Q131" s="15">
        <v>160</v>
      </c>
      <c r="R131" s="8">
        <f>1.454*C131</f>
        <v>391.579648</v>
      </c>
      <c r="S131" s="9">
        <f>E131*1.454*0.4</f>
        <v>156.6318592</v>
      </c>
      <c r="T131" s="9">
        <f>E131*1.454*0.2</f>
        <v>78.3159296</v>
      </c>
      <c r="U131" s="9">
        <f>E131*1.454*0.2</f>
        <v>78.3159296</v>
      </c>
      <c r="V131" s="9">
        <f>E131*1.454*0.2</f>
        <v>78.3159296</v>
      </c>
      <c r="W131" s="9">
        <f>H131*1.454</f>
        <v>0</v>
      </c>
      <c r="X131" s="9">
        <f>K131*1.454</f>
        <v>0</v>
      </c>
      <c r="Y131" s="4">
        <f t="shared" si="19"/>
        <v>156.6318592</v>
      </c>
    </row>
    <row r="132" spans="1:25" ht="12.75" customHeight="1" outlineLevel="2">
      <c r="A132" s="160">
        <v>4</v>
      </c>
      <c r="B132" s="162" t="s">
        <v>137</v>
      </c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4">
        <f t="shared" si="19"/>
        <v>0</v>
      </c>
    </row>
    <row r="133" spans="1:25" ht="18" outlineLevel="2">
      <c r="A133" s="160"/>
      <c r="B133" s="15">
        <f>D133+G133+J133</f>
        <v>144</v>
      </c>
      <c r="C133" s="16">
        <f>E133+H133+K133</f>
        <v>298.368</v>
      </c>
      <c r="D133" s="15">
        <v>144</v>
      </c>
      <c r="E133" s="8">
        <f>D133*FORECAST(D133,AA$14:AA$15,Z$14:Z$15)</f>
        <v>298.368</v>
      </c>
      <c r="F133" s="15" t="s">
        <v>433</v>
      </c>
      <c r="G133" s="15"/>
      <c r="H133" s="15"/>
      <c r="I133" s="15"/>
      <c r="J133" s="15"/>
      <c r="K133" s="15"/>
      <c r="L133" s="15"/>
      <c r="M133" s="15">
        <v>600</v>
      </c>
      <c r="N133" s="15">
        <v>540</v>
      </c>
      <c r="O133" s="8">
        <f>C133/0.92</f>
        <v>324.31304347826085</v>
      </c>
      <c r="P133" s="15">
        <v>1</v>
      </c>
      <c r="Q133" s="15">
        <v>160</v>
      </c>
      <c r="R133" s="8">
        <f>1.454*C133</f>
        <v>433.827072</v>
      </c>
      <c r="S133" s="9">
        <f>E133*1.454*0.4</f>
        <v>173.5308288</v>
      </c>
      <c r="T133" s="9">
        <f>E133*1.454*0.2</f>
        <v>86.7654144</v>
      </c>
      <c r="U133" s="9">
        <f>E133*1.454*0.2</f>
        <v>86.7654144</v>
      </c>
      <c r="V133" s="9">
        <f>E133*1.454*0.2</f>
        <v>86.7654144</v>
      </c>
      <c r="W133" s="9">
        <f>H133*1.454</f>
        <v>0</v>
      </c>
      <c r="X133" s="9">
        <f>K133*1.454</f>
        <v>0</v>
      </c>
      <c r="Y133" s="4">
        <f t="shared" si="19"/>
        <v>173.5308288</v>
      </c>
    </row>
    <row r="134" spans="1:25" ht="12.75" customHeight="1" outlineLevel="2">
      <c r="A134" s="160">
        <v>5</v>
      </c>
      <c r="B134" s="162" t="s">
        <v>138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4">
        <f t="shared" si="19"/>
        <v>0</v>
      </c>
    </row>
    <row r="135" spans="1:25" ht="18" outlineLevel="2">
      <c r="A135" s="160"/>
      <c r="B135" s="15">
        <f>D135+G135+J135</f>
        <v>320</v>
      </c>
      <c r="C135" s="15">
        <f>E135+H135+K135</f>
        <v>646.4</v>
      </c>
      <c r="D135" s="15">
        <v>320</v>
      </c>
      <c r="E135" s="8">
        <f>200*1.96+120*FORECAST(120,AA$14:AA$15,Z$14:Z$15)</f>
        <v>646.4</v>
      </c>
      <c r="F135" s="15" t="s">
        <v>433</v>
      </c>
      <c r="G135" s="15"/>
      <c r="H135" s="15"/>
      <c r="I135" s="15"/>
      <c r="J135" s="15"/>
      <c r="K135" s="15"/>
      <c r="L135" s="15"/>
      <c r="M135" s="15">
        <v>750</v>
      </c>
      <c r="N135" s="15">
        <v>1200</v>
      </c>
      <c r="O135" s="8">
        <f>C135/0.92</f>
        <v>702.6086956521739</v>
      </c>
      <c r="P135" s="15">
        <v>1</v>
      </c>
      <c r="Q135" s="15">
        <v>400</v>
      </c>
      <c r="R135" s="8">
        <f>1.454*C135</f>
        <v>939.8656</v>
      </c>
      <c r="S135" s="9">
        <f>E135*1.454*0.4</f>
        <v>375.94624</v>
      </c>
      <c r="T135" s="9">
        <f>E135*1.454*0.2</f>
        <v>187.97312</v>
      </c>
      <c r="U135" s="9">
        <f>E135*1.454*0.2</f>
        <v>187.97312</v>
      </c>
      <c r="V135" s="9">
        <f>E135*1.454*0.2</f>
        <v>187.97312</v>
      </c>
      <c r="W135" s="9">
        <f>H135*1.454</f>
        <v>0</v>
      </c>
      <c r="X135" s="9">
        <f>K135*1.454</f>
        <v>0</v>
      </c>
      <c r="Y135" s="4">
        <f t="shared" si="19"/>
        <v>375.94624</v>
      </c>
    </row>
    <row r="136" spans="1:25" ht="36" outlineLevel="2">
      <c r="A136" s="15" t="s">
        <v>431</v>
      </c>
      <c r="B136" s="15">
        <f>B127+B129+B131+B133+B135</f>
        <v>848</v>
      </c>
      <c r="C136" s="16">
        <f>C127+C129+C131+C133+C135</f>
        <v>1752.7040000000002</v>
      </c>
      <c r="D136" s="15">
        <f>D127+D129+D131+D133+D135</f>
        <v>848</v>
      </c>
      <c r="E136" s="16">
        <f>E127+E129+E131+E133+E135</f>
        <v>1752.7040000000002</v>
      </c>
      <c r="F136" s="15" t="s">
        <v>433</v>
      </c>
      <c r="G136" s="15">
        <f>G127+G129+G131+G133+G135</f>
        <v>0</v>
      </c>
      <c r="H136" s="15">
        <f>H127+H129+H131+H133+H135</f>
        <v>0</v>
      </c>
      <c r="I136" s="15" t="s">
        <v>441</v>
      </c>
      <c r="J136" s="15">
        <f>J127+J129+J131+J133+J135</f>
        <v>0</v>
      </c>
      <c r="K136" s="15">
        <f>K127+K129+K131+K133+K135</f>
        <v>0</v>
      </c>
      <c r="L136" s="15" t="s">
        <v>441</v>
      </c>
      <c r="M136" s="15">
        <f aca="true" t="shared" si="21" ref="M136:X136">M127+M129+M131+M133+M135</f>
        <v>2180</v>
      </c>
      <c r="N136" s="15">
        <f t="shared" si="21"/>
        <v>3180</v>
      </c>
      <c r="O136" s="16">
        <f t="shared" si="21"/>
        <v>1905.1130434782608</v>
      </c>
      <c r="P136" s="15">
        <f t="shared" si="21"/>
        <v>5</v>
      </c>
      <c r="Q136" s="15">
        <f t="shared" si="21"/>
        <v>1040</v>
      </c>
      <c r="R136" s="16">
        <f t="shared" si="21"/>
        <v>2548.4316160000003</v>
      </c>
      <c r="S136" s="16">
        <f t="shared" si="21"/>
        <v>1019.3726464</v>
      </c>
      <c r="T136" s="16">
        <f t="shared" si="21"/>
        <v>509.6863232</v>
      </c>
      <c r="U136" s="16">
        <f t="shared" si="21"/>
        <v>509.6863232</v>
      </c>
      <c r="V136" s="16">
        <f t="shared" si="21"/>
        <v>509.6863232</v>
      </c>
      <c r="W136" s="16">
        <f t="shared" si="21"/>
        <v>0</v>
      </c>
      <c r="X136" s="16">
        <f t="shared" si="21"/>
        <v>0</v>
      </c>
      <c r="Y136" s="4">
        <f t="shared" si="19"/>
        <v>1019.3726464</v>
      </c>
    </row>
    <row r="137" spans="1:25" ht="12.75" customHeight="1" outlineLevel="2">
      <c r="A137" s="160">
        <v>1</v>
      </c>
      <c r="B137" s="162" t="s">
        <v>139</v>
      </c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4">
        <f t="shared" si="19"/>
        <v>0</v>
      </c>
    </row>
    <row r="138" spans="1:25" ht="18" outlineLevel="2">
      <c r="A138" s="160"/>
      <c r="B138" s="15">
        <f>D138+G138+J138</f>
        <v>128</v>
      </c>
      <c r="C138" s="16">
        <f>E138+H138+K138</f>
        <v>269.312</v>
      </c>
      <c r="D138" s="15">
        <v>128</v>
      </c>
      <c r="E138" s="8">
        <f>D138*FORECAST(D138,AA$14:AA$15,Z$14:Z$15)</f>
        <v>269.312</v>
      </c>
      <c r="F138" s="15" t="s">
        <v>433</v>
      </c>
      <c r="G138" s="15"/>
      <c r="H138" s="15"/>
      <c r="I138" s="15"/>
      <c r="J138" s="15"/>
      <c r="K138" s="15"/>
      <c r="L138" s="15"/>
      <c r="M138" s="15">
        <v>200</v>
      </c>
      <c r="N138" s="15">
        <v>480</v>
      </c>
      <c r="O138" s="8">
        <f>C138/0.92</f>
        <v>292.7304347826087</v>
      </c>
      <c r="P138" s="15">
        <v>1</v>
      </c>
      <c r="Q138" s="15">
        <v>160</v>
      </c>
      <c r="R138" s="8">
        <f>1.454*C138</f>
        <v>391.579648</v>
      </c>
      <c r="S138" s="9">
        <f>E138*1.454*0.4</f>
        <v>156.6318592</v>
      </c>
      <c r="T138" s="9">
        <f>E138*1.454*0.2</f>
        <v>78.3159296</v>
      </c>
      <c r="U138" s="9">
        <f>E138*1.454*0.2</f>
        <v>78.3159296</v>
      </c>
      <c r="V138" s="9">
        <f>E138*1.454*0.2</f>
        <v>78.3159296</v>
      </c>
      <c r="W138" s="9">
        <f>H138*1.454</f>
        <v>0</v>
      </c>
      <c r="X138" s="9">
        <f>K138*1.454</f>
        <v>0</v>
      </c>
      <c r="Y138" s="4">
        <f t="shared" si="19"/>
        <v>156.6318592</v>
      </c>
    </row>
    <row r="139" spans="1:25" ht="12.75" customHeight="1" outlineLevel="2">
      <c r="A139" s="160">
        <v>2</v>
      </c>
      <c r="B139" s="162" t="s">
        <v>140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4">
        <f t="shared" si="19"/>
        <v>0</v>
      </c>
    </row>
    <row r="140" spans="1:25" ht="18" outlineLevel="2">
      <c r="A140" s="160"/>
      <c r="B140" s="15">
        <f>D140+G140+J140</f>
        <v>128</v>
      </c>
      <c r="C140" s="16">
        <f>E140+H140+K140</f>
        <v>269.312</v>
      </c>
      <c r="D140" s="15">
        <v>128</v>
      </c>
      <c r="E140" s="8">
        <f>D140*FORECAST(D140,AA$14:AA$15,Z$14:Z$15)</f>
        <v>269.312</v>
      </c>
      <c r="F140" s="15" t="s">
        <v>433</v>
      </c>
      <c r="G140" s="15"/>
      <c r="H140" s="15"/>
      <c r="I140" s="15"/>
      <c r="J140" s="15"/>
      <c r="K140" s="15"/>
      <c r="L140" s="15"/>
      <c r="M140" s="15">
        <v>200</v>
      </c>
      <c r="N140" s="15">
        <v>480</v>
      </c>
      <c r="O140" s="8">
        <f>C140/0.92</f>
        <v>292.7304347826087</v>
      </c>
      <c r="P140" s="15">
        <v>1</v>
      </c>
      <c r="Q140" s="15">
        <v>160</v>
      </c>
      <c r="R140" s="8">
        <f>1.454*C140</f>
        <v>391.579648</v>
      </c>
      <c r="S140" s="9">
        <f>E140*1.454*0.4</f>
        <v>156.6318592</v>
      </c>
      <c r="T140" s="9">
        <f>E140*1.454*0.2</f>
        <v>78.3159296</v>
      </c>
      <c r="U140" s="9">
        <f>E140*1.454*0.2</f>
        <v>78.3159296</v>
      </c>
      <c r="V140" s="9">
        <f>E140*1.454*0.2</f>
        <v>78.3159296</v>
      </c>
      <c r="W140" s="9">
        <f>H140*1.454</f>
        <v>0</v>
      </c>
      <c r="X140" s="9">
        <f>K140*1.454</f>
        <v>0</v>
      </c>
      <c r="Y140" s="4">
        <f t="shared" si="19"/>
        <v>156.6318592</v>
      </c>
    </row>
    <row r="141" spans="1:25" ht="12.75" customHeight="1" outlineLevel="2">
      <c r="A141" s="160">
        <v>3</v>
      </c>
      <c r="B141" s="162" t="s">
        <v>141</v>
      </c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4">
        <f t="shared" si="19"/>
        <v>0</v>
      </c>
    </row>
    <row r="142" spans="1:25" ht="18" outlineLevel="2">
      <c r="A142" s="160"/>
      <c r="B142" s="15">
        <f>D142+G142+J142</f>
        <v>128</v>
      </c>
      <c r="C142" s="16">
        <f>E142+H142+K142</f>
        <v>269.312</v>
      </c>
      <c r="D142" s="15">
        <v>128</v>
      </c>
      <c r="E142" s="8">
        <f>D142*FORECAST(D142,AA$14:AA$15,Z$14:Z$15)</f>
        <v>269.312</v>
      </c>
      <c r="F142" s="15" t="s">
        <v>433</v>
      </c>
      <c r="G142" s="15"/>
      <c r="H142" s="15"/>
      <c r="I142" s="15"/>
      <c r="J142" s="15"/>
      <c r="K142" s="15"/>
      <c r="L142" s="15"/>
      <c r="M142" s="15">
        <v>200</v>
      </c>
      <c r="N142" s="15">
        <v>480</v>
      </c>
      <c r="O142" s="8">
        <f>C142/0.92</f>
        <v>292.7304347826087</v>
      </c>
      <c r="P142" s="15">
        <v>1</v>
      </c>
      <c r="Q142" s="15">
        <v>160</v>
      </c>
      <c r="R142" s="8">
        <f>1.454*C142</f>
        <v>391.579648</v>
      </c>
      <c r="S142" s="9">
        <f>E142*1.454*0.4</f>
        <v>156.6318592</v>
      </c>
      <c r="T142" s="9">
        <f>E142*1.454*0.2</f>
        <v>78.3159296</v>
      </c>
      <c r="U142" s="9">
        <f>E142*1.454*0.2</f>
        <v>78.3159296</v>
      </c>
      <c r="V142" s="9">
        <f>E142*1.454*0.2</f>
        <v>78.3159296</v>
      </c>
      <c r="W142" s="9">
        <f>H142*1.454</f>
        <v>0</v>
      </c>
      <c r="X142" s="9">
        <f>K142*1.454</f>
        <v>0</v>
      </c>
      <c r="Y142" s="4">
        <f t="shared" si="19"/>
        <v>156.6318592</v>
      </c>
    </row>
    <row r="143" spans="1:25" ht="12.75" customHeight="1" outlineLevel="2">
      <c r="A143" s="160">
        <v>4</v>
      </c>
      <c r="B143" s="162" t="s">
        <v>142</v>
      </c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4">
        <f t="shared" si="19"/>
        <v>0</v>
      </c>
    </row>
    <row r="144" spans="1:25" ht="18" outlineLevel="2">
      <c r="A144" s="160"/>
      <c r="B144" s="15">
        <f>D144+G144+J144</f>
        <v>224</v>
      </c>
      <c r="C144" s="15">
        <f>E144+H144+K144</f>
        <v>472.4</v>
      </c>
      <c r="D144" s="15">
        <v>224</v>
      </c>
      <c r="E144" s="8">
        <f>200*AA15+24*AA11</f>
        <v>472.4</v>
      </c>
      <c r="F144" s="15" t="s">
        <v>433</v>
      </c>
      <c r="G144" s="15"/>
      <c r="H144" s="15"/>
      <c r="I144" s="15"/>
      <c r="J144" s="15"/>
      <c r="K144" s="15"/>
      <c r="L144" s="15"/>
      <c r="M144" s="15">
        <v>380</v>
      </c>
      <c r="N144" s="15">
        <v>840</v>
      </c>
      <c r="O144" s="8">
        <f>C144/0.92</f>
        <v>513.4782608695651</v>
      </c>
      <c r="P144" s="15">
        <v>1</v>
      </c>
      <c r="Q144" s="15">
        <v>250</v>
      </c>
      <c r="R144" s="8">
        <f>1.454*C144</f>
        <v>686.8696</v>
      </c>
      <c r="S144" s="9">
        <f>E144*1.454*0.4</f>
        <v>274.74784</v>
      </c>
      <c r="T144" s="9">
        <f>E144*1.454*0.2</f>
        <v>137.37392</v>
      </c>
      <c r="U144" s="9">
        <f>E144*1.454*0.2</f>
        <v>137.37392</v>
      </c>
      <c r="V144" s="9">
        <f>E144*1.454*0.2</f>
        <v>137.37392</v>
      </c>
      <c r="W144" s="9">
        <f>H144*1.454</f>
        <v>0</v>
      </c>
      <c r="X144" s="9">
        <f>K144*1.454</f>
        <v>0</v>
      </c>
      <c r="Y144" s="4">
        <f t="shared" si="19"/>
        <v>274.74784</v>
      </c>
    </row>
    <row r="145" spans="1:25" ht="36" outlineLevel="2">
      <c r="A145" s="15" t="s">
        <v>431</v>
      </c>
      <c r="B145" s="15">
        <f>B138+B140+B142+B144</f>
        <v>608</v>
      </c>
      <c r="C145" s="16">
        <f>C138+C140+C142+C144</f>
        <v>1280.336</v>
      </c>
      <c r="D145" s="15">
        <f>D138+D140+D142+D144</f>
        <v>608</v>
      </c>
      <c r="E145" s="16">
        <f>E138+E140+E142+E144</f>
        <v>1280.336</v>
      </c>
      <c r="F145" s="15" t="s">
        <v>433</v>
      </c>
      <c r="G145" s="15">
        <f>G138+G140+G142+G144</f>
        <v>0</v>
      </c>
      <c r="H145" s="15">
        <f>H138+H140+H142+H144</f>
        <v>0</v>
      </c>
      <c r="I145" s="15" t="s">
        <v>441</v>
      </c>
      <c r="J145" s="15">
        <f>J138+J140+J142+J144</f>
        <v>0</v>
      </c>
      <c r="K145" s="15">
        <f>K138+K140+K142+K144</f>
        <v>0</v>
      </c>
      <c r="L145" s="15" t="s">
        <v>441</v>
      </c>
      <c r="M145" s="15">
        <f aca="true" t="shared" si="22" ref="M145:X145">M138+M140+M142+M144</f>
        <v>980</v>
      </c>
      <c r="N145" s="15">
        <f t="shared" si="22"/>
        <v>2280</v>
      </c>
      <c r="O145" s="16">
        <f t="shared" si="22"/>
        <v>1391.6695652173912</v>
      </c>
      <c r="P145" s="15">
        <f t="shared" si="22"/>
        <v>4</v>
      </c>
      <c r="Q145" s="15">
        <f t="shared" si="22"/>
        <v>730</v>
      </c>
      <c r="R145" s="16">
        <f t="shared" si="22"/>
        <v>1861.6085440000002</v>
      </c>
      <c r="S145" s="16">
        <f>S138+S140+S142+S144</f>
        <v>744.6434176</v>
      </c>
      <c r="T145" s="16">
        <f>T138+T140+T142+T144</f>
        <v>372.3217088</v>
      </c>
      <c r="U145" s="16">
        <f>U138+U140+U142+U144</f>
        <v>372.3217088</v>
      </c>
      <c r="V145" s="16">
        <f>V138+V140+V142+V144</f>
        <v>372.3217088</v>
      </c>
      <c r="W145" s="16">
        <f t="shared" si="22"/>
        <v>0</v>
      </c>
      <c r="X145" s="16">
        <f t="shared" si="22"/>
        <v>0</v>
      </c>
      <c r="Y145" s="4">
        <f t="shared" si="19"/>
        <v>744.6434176</v>
      </c>
    </row>
    <row r="146" spans="1:25" ht="12.75" customHeight="1" outlineLevel="2">
      <c r="A146" s="160">
        <v>1</v>
      </c>
      <c r="B146" s="162" t="s">
        <v>529</v>
      </c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4">
        <f t="shared" si="19"/>
        <v>0</v>
      </c>
    </row>
    <row r="147" spans="1:25" ht="18" outlineLevel="2">
      <c r="A147" s="160"/>
      <c r="B147" s="15">
        <f>D147+G147+J147</f>
        <v>27</v>
      </c>
      <c r="C147" s="16">
        <f>E147+H147+K147</f>
        <v>86.956875</v>
      </c>
      <c r="D147" s="15">
        <v>27</v>
      </c>
      <c r="E147" s="8">
        <f>D147*FORECAST(D147,AA$11:AA$12,Z$11:Z$12)</f>
        <v>86.956875</v>
      </c>
      <c r="F147" s="15" t="s">
        <v>433</v>
      </c>
      <c r="G147" s="15"/>
      <c r="H147" s="15"/>
      <c r="I147" s="15"/>
      <c r="J147" s="15"/>
      <c r="K147" s="15"/>
      <c r="L147" s="15"/>
      <c r="M147" s="15">
        <v>150</v>
      </c>
      <c r="N147" s="15">
        <v>240</v>
      </c>
      <c r="O147" s="8">
        <f>C147/0.92</f>
        <v>94.51834239130434</v>
      </c>
      <c r="P147" s="15">
        <v>1</v>
      </c>
      <c r="Q147" s="15">
        <v>100</v>
      </c>
      <c r="R147" s="8">
        <f>1.454*C147</f>
        <v>126.43529625</v>
      </c>
      <c r="S147" s="9">
        <f>E147*1.454*0.4</f>
        <v>50.5741185</v>
      </c>
      <c r="T147" s="9">
        <f>E147*1.454*0.2</f>
        <v>25.28705925</v>
      </c>
      <c r="U147" s="9">
        <f>E147*1.454*0.2</f>
        <v>25.28705925</v>
      </c>
      <c r="V147" s="9">
        <f>E147*1.454*0.2</f>
        <v>25.28705925</v>
      </c>
      <c r="W147" s="9">
        <f>H147*1.454</f>
        <v>0</v>
      </c>
      <c r="X147" s="9">
        <f>K147*1.454</f>
        <v>0</v>
      </c>
      <c r="Y147" s="4">
        <f t="shared" si="19"/>
        <v>50.5741185</v>
      </c>
    </row>
    <row r="148" spans="1:25" ht="12.75" customHeight="1" outlineLevel="2">
      <c r="A148" s="160">
        <v>2</v>
      </c>
      <c r="B148" s="162" t="s">
        <v>143</v>
      </c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4">
        <f t="shared" si="19"/>
        <v>0</v>
      </c>
    </row>
    <row r="149" spans="1:25" ht="18" outlineLevel="2">
      <c r="A149" s="160"/>
      <c r="B149" s="15">
        <f>D149+G149+J149</f>
        <v>27</v>
      </c>
      <c r="C149" s="16">
        <f>E149+H149+K149</f>
        <v>86.956875</v>
      </c>
      <c r="D149" s="15">
        <v>27</v>
      </c>
      <c r="E149" s="8">
        <f>D149*FORECAST(D149,AA$11:AA$12,Z$11:Z$12)</f>
        <v>86.956875</v>
      </c>
      <c r="F149" s="15" t="s">
        <v>433</v>
      </c>
      <c r="G149" s="15"/>
      <c r="H149" s="15"/>
      <c r="I149" s="15"/>
      <c r="J149" s="15"/>
      <c r="K149" s="15"/>
      <c r="L149" s="15"/>
      <c r="M149" s="15">
        <v>100</v>
      </c>
      <c r="N149" s="15">
        <v>360</v>
      </c>
      <c r="O149" s="8">
        <f>C149/0.92</f>
        <v>94.51834239130434</v>
      </c>
      <c r="P149" s="15">
        <v>1</v>
      </c>
      <c r="Q149" s="15">
        <v>100</v>
      </c>
      <c r="R149" s="8">
        <f>1.454*C149</f>
        <v>126.43529625</v>
      </c>
      <c r="S149" s="9">
        <f>E149*1.454*0.4</f>
        <v>50.5741185</v>
      </c>
      <c r="T149" s="9">
        <f>E149*1.454*0.2</f>
        <v>25.28705925</v>
      </c>
      <c r="U149" s="9">
        <f>E149*1.454*0.2</f>
        <v>25.28705925</v>
      </c>
      <c r="V149" s="9">
        <f>E149*1.454*0.2</f>
        <v>25.28705925</v>
      </c>
      <c r="W149" s="9">
        <f>H149*1.454</f>
        <v>0</v>
      </c>
      <c r="X149" s="9">
        <f>K149*1.454</f>
        <v>0</v>
      </c>
      <c r="Y149" s="4">
        <f t="shared" si="19"/>
        <v>50.5741185</v>
      </c>
    </row>
    <row r="150" spans="1:25" ht="36" outlineLevel="2">
      <c r="A150" s="15" t="s">
        <v>431</v>
      </c>
      <c r="B150" s="15">
        <f>B147+B149</f>
        <v>54</v>
      </c>
      <c r="C150" s="16">
        <f>C147+C149</f>
        <v>173.91375</v>
      </c>
      <c r="D150" s="15">
        <f>D147+D149</f>
        <v>54</v>
      </c>
      <c r="E150" s="16">
        <f>E147+E149</f>
        <v>173.91375</v>
      </c>
      <c r="F150" s="15" t="s">
        <v>433</v>
      </c>
      <c r="G150" s="15">
        <f>G147+G149</f>
        <v>0</v>
      </c>
      <c r="H150" s="15">
        <f>H147+H149</f>
        <v>0</v>
      </c>
      <c r="I150" s="15" t="s">
        <v>441</v>
      </c>
      <c r="J150" s="15">
        <f>J147+J149</f>
        <v>0</v>
      </c>
      <c r="K150" s="15">
        <f>K147+K149</f>
        <v>0</v>
      </c>
      <c r="L150" s="15" t="s">
        <v>441</v>
      </c>
      <c r="M150" s="15">
        <f aca="true" t="shared" si="23" ref="M150:X150">M147+M149</f>
        <v>250</v>
      </c>
      <c r="N150" s="15">
        <f t="shared" si="23"/>
        <v>600</v>
      </c>
      <c r="O150" s="16">
        <f t="shared" si="23"/>
        <v>189.0366847826087</v>
      </c>
      <c r="P150" s="15">
        <f t="shared" si="23"/>
        <v>2</v>
      </c>
      <c r="Q150" s="15">
        <f t="shared" si="23"/>
        <v>200</v>
      </c>
      <c r="R150" s="16">
        <f t="shared" si="23"/>
        <v>252.8705925</v>
      </c>
      <c r="S150" s="16">
        <f t="shared" si="23"/>
        <v>101.148237</v>
      </c>
      <c r="T150" s="16">
        <f t="shared" si="23"/>
        <v>50.5741185</v>
      </c>
      <c r="U150" s="16">
        <f t="shared" si="23"/>
        <v>50.5741185</v>
      </c>
      <c r="V150" s="16">
        <f t="shared" si="23"/>
        <v>50.5741185</v>
      </c>
      <c r="W150" s="16">
        <f t="shared" si="23"/>
        <v>0</v>
      </c>
      <c r="X150" s="16">
        <f t="shared" si="23"/>
        <v>0</v>
      </c>
      <c r="Y150" s="4">
        <f t="shared" si="19"/>
        <v>101.148237</v>
      </c>
    </row>
    <row r="151" spans="1:25" ht="12.75" customHeight="1" outlineLevel="2">
      <c r="A151" s="160">
        <v>1</v>
      </c>
      <c r="B151" s="162" t="s">
        <v>144</v>
      </c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4">
        <f t="shared" si="19"/>
        <v>0</v>
      </c>
    </row>
    <row r="152" spans="1:25" ht="18" outlineLevel="2">
      <c r="A152" s="160"/>
      <c r="B152" s="15">
        <f>D152+G152+J152</f>
        <v>176</v>
      </c>
      <c r="C152" s="16">
        <f>E152+H152+K152</f>
        <v>353.408</v>
      </c>
      <c r="D152" s="15">
        <v>176</v>
      </c>
      <c r="E152" s="8">
        <f>D152*FORECAST(D152,AA$14:AA$15,Z$14:Z$15)</f>
        <v>353.408</v>
      </c>
      <c r="F152" s="15" t="s">
        <v>433</v>
      </c>
      <c r="G152" s="15"/>
      <c r="H152" s="15"/>
      <c r="I152" s="15"/>
      <c r="J152" s="15"/>
      <c r="K152" s="15"/>
      <c r="L152" s="15"/>
      <c r="M152" s="15">
        <v>200</v>
      </c>
      <c r="N152" s="15">
        <v>660</v>
      </c>
      <c r="O152" s="8">
        <f>C152/0.92</f>
        <v>384.1391304347826</v>
      </c>
      <c r="P152" s="15">
        <v>1</v>
      </c>
      <c r="Q152" s="15">
        <v>250</v>
      </c>
      <c r="R152" s="8">
        <f>1.454*C152</f>
        <v>513.855232</v>
      </c>
      <c r="S152" s="9">
        <f>E152*1.454*0.4</f>
        <v>205.5420928</v>
      </c>
      <c r="T152" s="9">
        <f>E152*1.454*0.2</f>
        <v>102.7710464</v>
      </c>
      <c r="U152" s="9">
        <f>E152*1.454*0.2</f>
        <v>102.7710464</v>
      </c>
      <c r="V152" s="9">
        <f>E152*1.454*0.2</f>
        <v>102.7710464</v>
      </c>
      <c r="W152" s="9">
        <f>H152*1.454</f>
        <v>0</v>
      </c>
      <c r="X152" s="9">
        <f>K152*1.454</f>
        <v>0</v>
      </c>
      <c r="Y152" s="4">
        <f t="shared" si="19"/>
        <v>205.5420928</v>
      </c>
    </row>
    <row r="153" spans="1:25" ht="12.75" customHeight="1" outlineLevel="2">
      <c r="A153" s="160">
        <v>2</v>
      </c>
      <c r="B153" s="162" t="s">
        <v>145</v>
      </c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4">
        <f t="shared" si="19"/>
        <v>0</v>
      </c>
    </row>
    <row r="154" spans="1:25" ht="18" outlineLevel="2">
      <c r="A154" s="160"/>
      <c r="B154" s="15">
        <f>D154+G154+J154</f>
        <v>256</v>
      </c>
      <c r="C154" s="16">
        <f>E154+H154+K154</f>
        <v>528.4159999999999</v>
      </c>
      <c r="D154" s="15">
        <v>256</v>
      </c>
      <c r="E154" s="8">
        <f>200*AA15+56*FORECAST(56,AA$12:AA$13,Z$12:Z$13)</f>
        <v>528.4159999999999</v>
      </c>
      <c r="F154" s="15" t="s">
        <v>433</v>
      </c>
      <c r="G154" s="15"/>
      <c r="H154" s="15"/>
      <c r="I154" s="15"/>
      <c r="J154" s="15"/>
      <c r="K154" s="15"/>
      <c r="L154" s="15"/>
      <c r="M154" s="15">
        <v>250</v>
      </c>
      <c r="N154" s="15">
        <v>960</v>
      </c>
      <c r="O154" s="8">
        <f>C154/0.92</f>
        <v>574.3652173913042</v>
      </c>
      <c r="P154" s="15">
        <v>1</v>
      </c>
      <c r="Q154" s="15">
        <v>350</v>
      </c>
      <c r="R154" s="8">
        <f>1.454*C154</f>
        <v>768.3168639999999</v>
      </c>
      <c r="S154" s="9">
        <f>E154*1.454*0.4</f>
        <v>307.3267456</v>
      </c>
      <c r="T154" s="9">
        <f>E154*1.454*0.2</f>
        <v>153.6633728</v>
      </c>
      <c r="U154" s="9">
        <f>E154*1.454*0.2</f>
        <v>153.6633728</v>
      </c>
      <c r="V154" s="9">
        <f>E154*1.454*0.2</f>
        <v>153.6633728</v>
      </c>
      <c r="W154" s="9">
        <f>H154*1.454</f>
        <v>0</v>
      </c>
      <c r="X154" s="9">
        <f>K154*1.454</f>
        <v>0</v>
      </c>
      <c r="Y154" s="4">
        <f t="shared" si="19"/>
        <v>307.3267456</v>
      </c>
    </row>
    <row r="155" spans="1:25" ht="36" outlineLevel="2">
      <c r="A155" s="15" t="s">
        <v>431</v>
      </c>
      <c r="B155" s="15">
        <f>B152+B154</f>
        <v>432</v>
      </c>
      <c r="C155" s="16">
        <f>C152+C154</f>
        <v>881.824</v>
      </c>
      <c r="D155" s="15">
        <f>D152+D154</f>
        <v>432</v>
      </c>
      <c r="E155" s="16">
        <f>E152+E154</f>
        <v>881.824</v>
      </c>
      <c r="F155" s="15" t="s">
        <v>433</v>
      </c>
      <c r="G155" s="15">
        <f>G152+G154</f>
        <v>0</v>
      </c>
      <c r="H155" s="15">
        <f>H152+H154</f>
        <v>0</v>
      </c>
      <c r="I155" s="15" t="s">
        <v>441</v>
      </c>
      <c r="J155" s="15">
        <f>J152+J154</f>
        <v>0</v>
      </c>
      <c r="K155" s="15">
        <f>K152+K154</f>
        <v>0</v>
      </c>
      <c r="L155" s="15" t="s">
        <v>441</v>
      </c>
      <c r="M155" s="15">
        <f aca="true" t="shared" si="24" ref="M155:X155">M152+M154</f>
        <v>450</v>
      </c>
      <c r="N155" s="15">
        <f t="shared" si="24"/>
        <v>1620</v>
      </c>
      <c r="O155" s="16">
        <f t="shared" si="24"/>
        <v>958.5043478260868</v>
      </c>
      <c r="P155" s="15">
        <f t="shared" si="24"/>
        <v>2</v>
      </c>
      <c r="Q155" s="15">
        <f t="shared" si="24"/>
        <v>600</v>
      </c>
      <c r="R155" s="16">
        <f t="shared" si="24"/>
        <v>1282.1720959999998</v>
      </c>
      <c r="S155" s="16">
        <f t="shared" si="24"/>
        <v>512.8688384</v>
      </c>
      <c r="T155" s="16">
        <f t="shared" si="24"/>
        <v>256.4344192</v>
      </c>
      <c r="U155" s="16">
        <f t="shared" si="24"/>
        <v>256.4344192</v>
      </c>
      <c r="V155" s="16">
        <f t="shared" si="24"/>
        <v>256.4344192</v>
      </c>
      <c r="W155" s="16">
        <f t="shared" si="24"/>
        <v>0</v>
      </c>
      <c r="X155" s="16">
        <f t="shared" si="24"/>
        <v>0</v>
      </c>
      <c r="Y155" s="4">
        <f t="shared" si="19"/>
        <v>512.8688384</v>
      </c>
    </row>
    <row r="156" spans="1:25" ht="12.75" customHeight="1" outlineLevel="2">
      <c r="A156" s="160">
        <v>1</v>
      </c>
      <c r="B156" s="162" t="s">
        <v>14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4">
        <f t="shared" si="19"/>
        <v>0</v>
      </c>
    </row>
    <row r="157" spans="1:25" ht="18" outlineLevel="2">
      <c r="A157" s="160"/>
      <c r="B157" s="15">
        <f>D157+G157+J157</f>
        <v>288</v>
      </c>
      <c r="C157" s="16">
        <f>E157+H157+K157</f>
        <v>587.888</v>
      </c>
      <c r="D157" s="15">
        <v>288</v>
      </c>
      <c r="E157" s="8">
        <f>200*AA15+88*FORECAST(88,AA$13:AA$14,Z$13:Z$14)</f>
        <v>587.888</v>
      </c>
      <c r="F157" s="15" t="s">
        <v>433</v>
      </c>
      <c r="G157" s="15"/>
      <c r="H157" s="15"/>
      <c r="I157" s="15"/>
      <c r="J157" s="15"/>
      <c r="K157" s="15"/>
      <c r="L157" s="15"/>
      <c r="M157" s="15">
        <v>200</v>
      </c>
      <c r="N157" s="15">
        <v>1080</v>
      </c>
      <c r="O157" s="8">
        <f>C157/0.92</f>
        <v>639.008695652174</v>
      </c>
      <c r="P157" s="15">
        <v>1</v>
      </c>
      <c r="Q157" s="15">
        <v>400</v>
      </c>
      <c r="R157" s="8">
        <f>1.454*C157</f>
        <v>854.7891520000001</v>
      </c>
      <c r="S157" s="9">
        <f>E157*1.454*0.4</f>
        <v>341.91566080000007</v>
      </c>
      <c r="T157" s="9">
        <f>E157*1.454*0.2</f>
        <v>170.95783040000003</v>
      </c>
      <c r="U157" s="9">
        <f>E157*1.454*0.2</f>
        <v>170.95783040000003</v>
      </c>
      <c r="V157" s="9">
        <f>E157*1.454*0.2</f>
        <v>170.95783040000003</v>
      </c>
      <c r="W157" s="9">
        <f>H157*1.454</f>
        <v>0</v>
      </c>
      <c r="X157" s="9">
        <f>K157*1.454</f>
        <v>0</v>
      </c>
      <c r="Y157" s="4">
        <f t="shared" si="19"/>
        <v>341.91566080000007</v>
      </c>
    </row>
    <row r="158" spans="1:25" ht="12.75" customHeight="1" outlineLevel="2">
      <c r="A158" s="160">
        <v>2</v>
      </c>
      <c r="B158" s="162" t="s">
        <v>15</v>
      </c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4">
        <f t="shared" si="19"/>
        <v>0</v>
      </c>
    </row>
    <row r="159" spans="1:25" ht="18" outlineLevel="2">
      <c r="A159" s="160"/>
      <c r="B159" s="15">
        <f>D159+G159+J159</f>
        <v>700</v>
      </c>
      <c r="C159" s="16">
        <f>E159+H159+K159</f>
        <v>1392</v>
      </c>
      <c r="D159" s="15">
        <v>700</v>
      </c>
      <c r="E159" s="8">
        <f>Z15*3*AA15+Z14*AA14</f>
        <v>1392</v>
      </c>
      <c r="F159" s="15" t="s">
        <v>433</v>
      </c>
      <c r="G159" s="15"/>
      <c r="H159" s="15"/>
      <c r="I159" s="15"/>
      <c r="J159" s="15"/>
      <c r="K159" s="15"/>
      <c r="L159" s="15"/>
      <c r="M159" s="15">
        <v>150</v>
      </c>
      <c r="N159" s="15">
        <v>2640</v>
      </c>
      <c r="O159" s="8">
        <f>C159/0.92</f>
        <v>1513.0434782608695</v>
      </c>
      <c r="P159" s="15">
        <v>2</v>
      </c>
      <c r="Q159" s="15">
        <v>800</v>
      </c>
      <c r="R159" s="8">
        <f>1.454*C159</f>
        <v>2023.9679999999998</v>
      </c>
      <c r="S159" s="9">
        <f>E159*1.454*0.4</f>
        <v>809.5871999999999</v>
      </c>
      <c r="T159" s="9">
        <f>E159*1.454*0.2</f>
        <v>404.79359999999997</v>
      </c>
      <c r="U159" s="9">
        <f>E159*1.454*0.2</f>
        <v>404.79359999999997</v>
      </c>
      <c r="V159" s="9">
        <f>E159*1.454*0.2</f>
        <v>404.79359999999997</v>
      </c>
      <c r="W159" s="9">
        <f>H159*1.454</f>
        <v>0</v>
      </c>
      <c r="X159" s="9">
        <f>K159*1.454</f>
        <v>0</v>
      </c>
      <c r="Y159" s="4">
        <f t="shared" si="19"/>
        <v>809.5871999999999</v>
      </c>
    </row>
    <row r="160" spans="1:25" ht="36" outlineLevel="2">
      <c r="A160" s="15" t="s">
        <v>431</v>
      </c>
      <c r="B160" s="15">
        <f>B157+B159</f>
        <v>988</v>
      </c>
      <c r="C160" s="16">
        <f>C157+C159</f>
        <v>1979.888</v>
      </c>
      <c r="D160" s="15">
        <f>D157+D159</f>
        <v>988</v>
      </c>
      <c r="E160" s="16">
        <f>E157+E159</f>
        <v>1979.888</v>
      </c>
      <c r="F160" s="15" t="s">
        <v>433</v>
      </c>
      <c r="G160" s="15">
        <f>G157+G159</f>
        <v>0</v>
      </c>
      <c r="H160" s="15">
        <f>H157+H159</f>
        <v>0</v>
      </c>
      <c r="I160" s="15" t="s">
        <v>441</v>
      </c>
      <c r="J160" s="15">
        <f>J157+J159</f>
        <v>0</v>
      </c>
      <c r="K160" s="15">
        <f>K157+K159</f>
        <v>0</v>
      </c>
      <c r="L160" s="15" t="s">
        <v>441</v>
      </c>
      <c r="M160" s="15">
        <f aca="true" t="shared" si="25" ref="M160:X160">M157+M159</f>
        <v>350</v>
      </c>
      <c r="N160" s="15">
        <f t="shared" si="25"/>
        <v>3720</v>
      </c>
      <c r="O160" s="16">
        <f t="shared" si="25"/>
        <v>2152.0521739130436</v>
      </c>
      <c r="P160" s="15">
        <f t="shared" si="25"/>
        <v>3</v>
      </c>
      <c r="Q160" s="15">
        <f t="shared" si="25"/>
        <v>1200</v>
      </c>
      <c r="R160" s="16">
        <f t="shared" si="25"/>
        <v>2878.757152</v>
      </c>
      <c r="S160" s="16">
        <f t="shared" si="25"/>
        <v>1151.5028608</v>
      </c>
      <c r="T160" s="16">
        <f t="shared" si="25"/>
        <v>575.7514304</v>
      </c>
      <c r="U160" s="16">
        <f t="shared" si="25"/>
        <v>575.7514304</v>
      </c>
      <c r="V160" s="16">
        <f t="shared" si="25"/>
        <v>575.7514304</v>
      </c>
      <c r="W160" s="16">
        <f t="shared" si="25"/>
        <v>0</v>
      </c>
      <c r="X160" s="16">
        <f t="shared" si="25"/>
        <v>0</v>
      </c>
      <c r="Y160" s="4">
        <f t="shared" si="19"/>
        <v>1151.5028608</v>
      </c>
    </row>
    <row r="161" spans="1:25" ht="12.75" customHeight="1" outlineLevel="2">
      <c r="A161" s="160">
        <v>1</v>
      </c>
      <c r="B161" s="162" t="s">
        <v>146</v>
      </c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4">
        <f t="shared" si="19"/>
        <v>0</v>
      </c>
    </row>
    <row r="162" spans="1:25" ht="18" outlineLevel="2">
      <c r="A162" s="160"/>
      <c r="B162" s="15">
        <f>D162+G162+J162</f>
        <v>224</v>
      </c>
      <c r="C162" s="15">
        <f>E162+H162+K162</f>
        <v>472.4</v>
      </c>
      <c r="D162" s="15">
        <v>224</v>
      </c>
      <c r="E162" s="8">
        <f>Z15*AA15+Z11*AA11</f>
        <v>472.4</v>
      </c>
      <c r="F162" s="15" t="s">
        <v>433</v>
      </c>
      <c r="G162" s="15"/>
      <c r="H162" s="15"/>
      <c r="I162" s="15"/>
      <c r="J162" s="15"/>
      <c r="K162" s="15"/>
      <c r="L162" s="15"/>
      <c r="M162" s="15">
        <v>400</v>
      </c>
      <c r="N162" s="15">
        <v>840</v>
      </c>
      <c r="O162" s="8">
        <f>C162/0.92</f>
        <v>513.4782608695651</v>
      </c>
      <c r="P162" s="15">
        <v>1</v>
      </c>
      <c r="Q162" s="15">
        <v>250</v>
      </c>
      <c r="R162" s="8">
        <f>1.454*C162</f>
        <v>686.8696</v>
      </c>
      <c r="S162" s="9">
        <f>E162*1.454*0.4</f>
        <v>274.74784</v>
      </c>
      <c r="T162" s="9">
        <f>E162*1.454*0.2</f>
        <v>137.37392</v>
      </c>
      <c r="U162" s="9">
        <f>E162*1.454*0.2</f>
        <v>137.37392</v>
      </c>
      <c r="V162" s="9">
        <f>E162*1.454*0.2</f>
        <v>137.37392</v>
      </c>
      <c r="W162" s="9">
        <f>H162*1.454</f>
        <v>0</v>
      </c>
      <c r="X162" s="9">
        <f>K162*1.454</f>
        <v>0</v>
      </c>
      <c r="Y162" s="4">
        <f t="shared" si="19"/>
        <v>274.74784</v>
      </c>
    </row>
    <row r="163" spans="1:25" ht="12.75" customHeight="1" outlineLevel="2">
      <c r="A163" s="160">
        <v>1</v>
      </c>
      <c r="B163" s="162" t="s">
        <v>147</v>
      </c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4">
        <f t="shared" si="19"/>
        <v>0</v>
      </c>
    </row>
    <row r="164" spans="1:25" ht="18" outlineLevel="2">
      <c r="A164" s="160"/>
      <c r="B164" s="15">
        <f>D164+G164+J164</f>
        <v>67</v>
      </c>
      <c r="C164" s="15">
        <f>E164+H164+K164</f>
        <v>156.88049999999998</v>
      </c>
      <c r="D164" s="15">
        <v>67</v>
      </c>
      <c r="E164" s="8">
        <f>D164*FORECAST(D164,AA$13:AA$14,Z$13:Z$14)</f>
        <v>156.88049999999998</v>
      </c>
      <c r="F164" s="15" t="s">
        <v>433</v>
      </c>
      <c r="G164" s="15"/>
      <c r="H164" s="15"/>
      <c r="I164" s="15"/>
      <c r="J164" s="15"/>
      <c r="K164" s="15"/>
      <c r="L164" s="15"/>
      <c r="M164" s="15">
        <v>280</v>
      </c>
      <c r="N164" s="15">
        <v>720</v>
      </c>
      <c r="O164" s="8">
        <f>C164/0.92</f>
        <v>170.52228260869563</v>
      </c>
      <c r="P164" s="15">
        <v>1</v>
      </c>
      <c r="Q164" s="15">
        <v>250</v>
      </c>
      <c r="R164" s="8">
        <f>1.454*C164</f>
        <v>228.10424699999996</v>
      </c>
      <c r="S164" s="9">
        <f>E164*1.454*0.4</f>
        <v>91.2416988</v>
      </c>
      <c r="T164" s="9">
        <f>E164*1.454*0.2</f>
        <v>45.6208494</v>
      </c>
      <c r="U164" s="9">
        <f>E164*1.454*0.2</f>
        <v>45.6208494</v>
      </c>
      <c r="V164" s="9">
        <f>E164*1.454*0.2</f>
        <v>45.6208494</v>
      </c>
      <c r="W164" s="9">
        <f>H164*1.454</f>
        <v>0</v>
      </c>
      <c r="X164" s="9">
        <f>K164*1.454</f>
        <v>0</v>
      </c>
      <c r="Y164" s="4">
        <f t="shared" si="19"/>
        <v>91.2416988</v>
      </c>
    </row>
    <row r="165" spans="1:25" ht="12.75" customHeight="1" outlineLevel="2">
      <c r="A165" s="160">
        <v>1</v>
      </c>
      <c r="B165" s="162" t="s">
        <v>530</v>
      </c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4">
        <f t="shared" si="19"/>
        <v>0</v>
      </c>
    </row>
    <row r="166" spans="1:25" ht="18" outlineLevel="2">
      <c r="A166" s="160"/>
      <c r="B166" s="15">
        <f>D166+G166+J166</f>
        <v>67</v>
      </c>
      <c r="C166" s="15">
        <f>E166+H166+K166</f>
        <v>156.88049999999998</v>
      </c>
      <c r="D166" s="15">
        <v>67</v>
      </c>
      <c r="E166" s="8">
        <f>D166*FORECAST(D166,AA$13:AA$14,Z$13:Z$14)</f>
        <v>156.88049999999998</v>
      </c>
      <c r="F166" s="15" t="s">
        <v>433</v>
      </c>
      <c r="G166" s="15"/>
      <c r="H166" s="15"/>
      <c r="I166" s="15"/>
      <c r="J166" s="15"/>
      <c r="K166" s="15"/>
      <c r="L166" s="15"/>
      <c r="M166" s="15">
        <v>300</v>
      </c>
      <c r="N166" s="15">
        <v>600</v>
      </c>
      <c r="O166" s="8">
        <f>C166/0.92</f>
        <v>170.52228260869563</v>
      </c>
      <c r="P166" s="15">
        <v>1</v>
      </c>
      <c r="Q166" s="15">
        <v>250</v>
      </c>
      <c r="R166" s="8">
        <f>1.454*C166</f>
        <v>228.10424699999996</v>
      </c>
      <c r="S166" s="9">
        <f>E166*1.454*0.4</f>
        <v>91.2416988</v>
      </c>
      <c r="T166" s="9">
        <f>E166*1.454*0.2</f>
        <v>45.6208494</v>
      </c>
      <c r="U166" s="9">
        <f>E166*1.454*0.2</f>
        <v>45.6208494</v>
      </c>
      <c r="V166" s="9">
        <f>E166*1.454*0.2</f>
        <v>45.6208494</v>
      </c>
      <c r="W166" s="9">
        <f>H166*1.454</f>
        <v>0</v>
      </c>
      <c r="X166" s="9">
        <f>K166*1.454</f>
        <v>0</v>
      </c>
      <c r="Y166" s="4">
        <f t="shared" si="19"/>
        <v>91.2416988</v>
      </c>
    </row>
    <row r="167" spans="1:25" ht="12.75" customHeight="1" outlineLevel="2">
      <c r="A167" s="160">
        <v>1</v>
      </c>
      <c r="B167" s="162" t="s">
        <v>148</v>
      </c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4">
        <f t="shared" si="19"/>
        <v>0</v>
      </c>
    </row>
    <row r="168" spans="1:25" ht="18" outlineLevel="2">
      <c r="A168" s="160"/>
      <c r="B168" s="15">
        <f>D168+G168+J168</f>
        <v>27</v>
      </c>
      <c r="C168" s="16">
        <f>E168+H168+K168</f>
        <v>86.956875</v>
      </c>
      <c r="D168" s="15">
        <v>27</v>
      </c>
      <c r="E168" s="8">
        <f>D168*FORECAST(D168,AA$11:AA$12,Z$11:Z$12)</f>
        <v>86.956875</v>
      </c>
      <c r="F168" s="15" t="s">
        <v>433</v>
      </c>
      <c r="G168" s="15"/>
      <c r="H168" s="15"/>
      <c r="I168" s="15"/>
      <c r="J168" s="15"/>
      <c r="K168" s="15"/>
      <c r="L168" s="15"/>
      <c r="M168" s="15">
        <v>100</v>
      </c>
      <c r="N168" s="15">
        <v>252</v>
      </c>
      <c r="O168" s="8">
        <f>C168/0.92</f>
        <v>94.51834239130434</v>
      </c>
      <c r="P168" s="15">
        <v>1</v>
      </c>
      <c r="Q168" s="15">
        <v>100</v>
      </c>
      <c r="R168" s="8">
        <f>1.454*C168</f>
        <v>126.43529625</v>
      </c>
      <c r="S168" s="9">
        <f>E168*1.454*0.4</f>
        <v>50.5741185</v>
      </c>
      <c r="T168" s="9">
        <f>E168*1.454*0.2</f>
        <v>25.28705925</v>
      </c>
      <c r="U168" s="9">
        <f>E168*1.454*0.2</f>
        <v>25.28705925</v>
      </c>
      <c r="V168" s="9">
        <f>E168*1.454*0.2</f>
        <v>25.28705925</v>
      </c>
      <c r="W168" s="9">
        <f>H168*1.454</f>
        <v>0</v>
      </c>
      <c r="X168" s="9">
        <f>K168*1.454</f>
        <v>0</v>
      </c>
      <c r="Y168" s="4">
        <f t="shared" si="19"/>
        <v>50.5741185</v>
      </c>
    </row>
    <row r="169" spans="1:25" ht="12.75" customHeight="1" outlineLevel="2">
      <c r="A169" s="160">
        <v>1</v>
      </c>
      <c r="B169" s="162" t="s">
        <v>149</v>
      </c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4">
        <f t="shared" si="19"/>
        <v>0</v>
      </c>
    </row>
    <row r="170" spans="1:25" ht="18" outlineLevel="2">
      <c r="A170" s="160"/>
      <c r="B170" s="15">
        <f>D170+G170+J170</f>
        <v>320</v>
      </c>
      <c r="C170" s="15">
        <f>E170+H170+K170</f>
        <v>682.6</v>
      </c>
      <c r="D170" s="15">
        <v>320</v>
      </c>
      <c r="E170" s="8">
        <f>Z15*AA15+Z14*AA14+20*FORECAST(20,AA$10:AA$11,Z$10:Z$11)</f>
        <v>682.6</v>
      </c>
      <c r="F170" s="15" t="s">
        <v>433</v>
      </c>
      <c r="G170" s="15"/>
      <c r="H170" s="15"/>
      <c r="I170" s="15"/>
      <c r="J170" s="15"/>
      <c r="K170" s="15"/>
      <c r="L170" s="15"/>
      <c r="M170" s="15">
        <v>400</v>
      </c>
      <c r="N170" s="15">
        <v>3600</v>
      </c>
      <c r="O170" s="8">
        <f>C170/0.92</f>
        <v>741.9565217391304</v>
      </c>
      <c r="P170" s="15">
        <v>2</v>
      </c>
      <c r="Q170" s="15">
        <v>1260</v>
      </c>
      <c r="R170" s="8">
        <f>1.454*C170</f>
        <v>992.5004</v>
      </c>
      <c r="S170" s="9">
        <f>E170*1.454*0.4</f>
        <v>397.00016000000005</v>
      </c>
      <c r="T170" s="9">
        <f>E170*1.454*0.2</f>
        <v>198.50008000000003</v>
      </c>
      <c r="U170" s="9">
        <f>E170*1.454*0.2</f>
        <v>198.50008000000003</v>
      </c>
      <c r="V170" s="9">
        <f>E170*1.454*0.2</f>
        <v>198.50008000000003</v>
      </c>
      <c r="W170" s="9">
        <f>H170*1.454</f>
        <v>0</v>
      </c>
      <c r="X170" s="9">
        <f>K170*1.454</f>
        <v>0</v>
      </c>
      <c r="Y170" s="4">
        <f t="shared" si="19"/>
        <v>397.00016000000005</v>
      </c>
    </row>
    <row r="171" spans="1:25" ht="12.75" customHeight="1" outlineLevel="2">
      <c r="A171" s="160">
        <v>1</v>
      </c>
      <c r="B171" s="162" t="s">
        <v>150</v>
      </c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4">
        <f t="shared" si="19"/>
        <v>0</v>
      </c>
    </row>
    <row r="172" spans="1:25" ht="18" outlineLevel="2">
      <c r="A172" s="160"/>
      <c r="B172" s="15">
        <f>D172+G172+J172</f>
        <v>93</v>
      </c>
      <c r="C172" s="16">
        <f>E172+H172+K172</f>
        <v>204.46050000000002</v>
      </c>
      <c r="D172" s="15">
        <v>93</v>
      </c>
      <c r="E172" s="8">
        <f>D172*FORECAST(D172,AA$13:AA$14,Z$13:Z$14)</f>
        <v>204.46050000000002</v>
      </c>
      <c r="F172" s="15" t="s">
        <v>433</v>
      </c>
      <c r="G172" s="15"/>
      <c r="H172" s="15"/>
      <c r="I172" s="15"/>
      <c r="J172" s="15"/>
      <c r="K172" s="15"/>
      <c r="L172" s="15"/>
      <c r="M172" s="15">
        <v>320</v>
      </c>
      <c r="N172" s="15">
        <v>840</v>
      </c>
      <c r="O172" s="8">
        <f>C172/0.92</f>
        <v>222.2396739130435</v>
      </c>
      <c r="P172" s="15">
        <v>1</v>
      </c>
      <c r="Q172" s="15">
        <v>350</v>
      </c>
      <c r="R172" s="8">
        <f>1.454*C172</f>
        <v>297.285567</v>
      </c>
      <c r="S172" s="9">
        <f>E172*1.454*0.4</f>
        <v>118.91422680000001</v>
      </c>
      <c r="T172" s="9">
        <f>E172*1.454*0.2</f>
        <v>59.457113400000004</v>
      </c>
      <c r="U172" s="9">
        <f>E172*1.454*0.2</f>
        <v>59.457113400000004</v>
      </c>
      <c r="V172" s="9">
        <f>E172*1.454*0.2</f>
        <v>59.457113400000004</v>
      </c>
      <c r="W172" s="9">
        <f>H172*1.454</f>
        <v>0</v>
      </c>
      <c r="X172" s="9">
        <f>K172*1.454</f>
        <v>0</v>
      </c>
      <c r="Y172" s="4">
        <f t="shared" si="19"/>
        <v>118.91422680000001</v>
      </c>
    </row>
    <row r="173" spans="1:25" ht="12.75" customHeight="1" outlineLevel="2">
      <c r="A173" s="160">
        <v>1</v>
      </c>
      <c r="B173" s="162" t="s">
        <v>151</v>
      </c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4">
        <f t="shared" si="19"/>
        <v>0</v>
      </c>
    </row>
    <row r="174" spans="1:25" ht="18" outlineLevel="2">
      <c r="A174" s="160"/>
      <c r="B174" s="15">
        <f>D174+G174+J174</f>
        <v>168</v>
      </c>
      <c r="C174" s="16">
        <f>E174+H174+K174</f>
        <v>340.032</v>
      </c>
      <c r="D174" s="15">
        <v>168</v>
      </c>
      <c r="E174" s="8">
        <f>D174*FORECAST(D174,AA$14:AA$15,Z$14:Z$15)</f>
        <v>340.032</v>
      </c>
      <c r="F174" s="15" t="s">
        <v>433</v>
      </c>
      <c r="G174" s="15"/>
      <c r="H174" s="15"/>
      <c r="I174" s="15"/>
      <c r="J174" s="15"/>
      <c r="K174" s="15"/>
      <c r="L174" s="15"/>
      <c r="M174" s="15">
        <v>450</v>
      </c>
      <c r="N174" s="15">
        <v>1800</v>
      </c>
      <c r="O174" s="8">
        <f>C174/0.92</f>
        <v>369.59999999999997</v>
      </c>
      <c r="P174" s="15">
        <v>1</v>
      </c>
      <c r="Q174" s="15">
        <v>630</v>
      </c>
      <c r="R174" s="8">
        <f>1.454*C174</f>
        <v>494.406528</v>
      </c>
      <c r="S174" s="9">
        <f>E174*1.454*0.4</f>
        <v>197.7626112</v>
      </c>
      <c r="T174" s="9">
        <f>E174*1.454*0.2</f>
        <v>98.8813056</v>
      </c>
      <c r="U174" s="9">
        <f>E174*1.454*0.2</f>
        <v>98.8813056</v>
      </c>
      <c r="V174" s="9">
        <f>E174*1.454*0.2</f>
        <v>98.8813056</v>
      </c>
      <c r="W174" s="9">
        <f>H174*1.454</f>
        <v>0</v>
      </c>
      <c r="X174" s="9">
        <f>K174*1.454</f>
        <v>0</v>
      </c>
      <c r="Y174" s="4">
        <f t="shared" si="19"/>
        <v>197.7626112</v>
      </c>
    </row>
    <row r="175" spans="1:25" ht="12.75" customHeight="1" outlineLevel="2">
      <c r="A175" s="160">
        <v>1</v>
      </c>
      <c r="B175" s="162" t="s">
        <v>152</v>
      </c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4">
        <f aca="true" t="shared" si="26" ref="Y175:Y237">U175*2</f>
        <v>0</v>
      </c>
    </row>
    <row r="176" spans="1:25" ht="18" outlineLevel="2">
      <c r="A176" s="160"/>
      <c r="B176" s="15">
        <f>D176+G176+J176</f>
        <v>512</v>
      </c>
      <c r="C176" s="16">
        <f>E176+H176+K176</f>
        <v>1059.52</v>
      </c>
      <c r="D176" s="15">
        <v>512</v>
      </c>
      <c r="E176" s="8">
        <f>Z15*AA15*2+Z14*AA14+Z8*AA8</f>
        <v>1059.52</v>
      </c>
      <c r="F176" s="15" t="s">
        <v>433</v>
      </c>
      <c r="G176" s="15"/>
      <c r="H176" s="15"/>
      <c r="I176" s="15"/>
      <c r="J176" s="15"/>
      <c r="K176" s="15"/>
      <c r="L176" s="15"/>
      <c r="M176" s="15">
        <v>320</v>
      </c>
      <c r="N176" s="15">
        <v>1920</v>
      </c>
      <c r="O176" s="8">
        <f>C176/0.92</f>
        <v>1151.6521739130435</v>
      </c>
      <c r="P176" s="15">
        <v>2</v>
      </c>
      <c r="Q176" s="15">
        <v>700</v>
      </c>
      <c r="R176" s="8">
        <f>1.454*C176</f>
        <v>1540.54208</v>
      </c>
      <c r="S176" s="9">
        <f>E176*1.454*0.4</f>
        <v>616.2168320000001</v>
      </c>
      <c r="T176" s="9">
        <f>E176*1.454*0.2</f>
        <v>308.10841600000003</v>
      </c>
      <c r="U176" s="9">
        <f>E176*1.454*0.2</f>
        <v>308.10841600000003</v>
      </c>
      <c r="V176" s="9">
        <f>E176*1.454*0.2</f>
        <v>308.10841600000003</v>
      </c>
      <c r="W176" s="9">
        <f>H176*1.454</f>
        <v>0</v>
      </c>
      <c r="X176" s="9">
        <f>K176*1.454</f>
        <v>0</v>
      </c>
      <c r="Y176" s="4">
        <f t="shared" si="26"/>
        <v>616.2168320000001</v>
      </c>
    </row>
    <row r="177" spans="1:25" ht="12.75" customHeight="1" outlineLevel="2">
      <c r="A177" s="160">
        <v>2</v>
      </c>
      <c r="B177" s="162" t="s">
        <v>153</v>
      </c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4">
        <f t="shared" si="26"/>
        <v>0</v>
      </c>
    </row>
    <row r="178" spans="1:25" ht="18" outlineLevel="2">
      <c r="A178" s="160"/>
      <c r="B178" s="15">
        <f>D178+G178+J178</f>
        <v>192</v>
      </c>
      <c r="C178" s="16">
        <f>E178+H178+K178</f>
        <v>379.392</v>
      </c>
      <c r="D178" s="15">
        <v>192</v>
      </c>
      <c r="E178" s="8">
        <f>D178*FORECAST(D178,AA$14:AA$15,Z$14:Z$15)</f>
        <v>379.392</v>
      </c>
      <c r="F178" s="15" t="s">
        <v>433</v>
      </c>
      <c r="G178" s="15"/>
      <c r="H178" s="15"/>
      <c r="I178" s="15"/>
      <c r="J178" s="15"/>
      <c r="K178" s="15"/>
      <c r="L178" s="15"/>
      <c r="M178" s="15">
        <v>200</v>
      </c>
      <c r="N178" s="15">
        <v>720</v>
      </c>
      <c r="O178" s="8">
        <f>C178/0.92</f>
        <v>412.38260869565215</v>
      </c>
      <c r="P178" s="15">
        <v>1</v>
      </c>
      <c r="Q178" s="15">
        <v>250</v>
      </c>
      <c r="R178" s="8">
        <f>1.454*C178</f>
        <v>551.6359679999999</v>
      </c>
      <c r="S178" s="9">
        <f>E178*1.454*0.4</f>
        <v>220.65438719999997</v>
      </c>
      <c r="T178" s="9">
        <f>E178*1.454*0.2</f>
        <v>110.32719359999999</v>
      </c>
      <c r="U178" s="9">
        <f>E178*1.454*0.2</f>
        <v>110.32719359999999</v>
      </c>
      <c r="V178" s="9">
        <f>E178*1.454*0.2</f>
        <v>110.32719359999999</v>
      </c>
      <c r="W178" s="9">
        <f>H178*1.454</f>
        <v>0</v>
      </c>
      <c r="X178" s="9">
        <f>K178*1.454</f>
        <v>0</v>
      </c>
      <c r="Y178" s="4">
        <f t="shared" si="26"/>
        <v>220.65438719999997</v>
      </c>
    </row>
    <row r="179" spans="1:25" ht="36" outlineLevel="2">
      <c r="A179" s="15" t="s">
        <v>431</v>
      </c>
      <c r="B179" s="15">
        <f>B176+B178</f>
        <v>704</v>
      </c>
      <c r="C179" s="16">
        <f>C176+C178</f>
        <v>1438.912</v>
      </c>
      <c r="D179" s="15">
        <f>D176+D178</f>
        <v>704</v>
      </c>
      <c r="E179" s="16">
        <f>E176+E178</f>
        <v>1438.912</v>
      </c>
      <c r="F179" s="15" t="s">
        <v>433</v>
      </c>
      <c r="G179" s="15">
        <f>G176+G178</f>
        <v>0</v>
      </c>
      <c r="H179" s="15">
        <f>H176+H178</f>
        <v>0</v>
      </c>
      <c r="I179" s="15" t="s">
        <v>441</v>
      </c>
      <c r="J179" s="15">
        <f>J176+J178</f>
        <v>0</v>
      </c>
      <c r="K179" s="15">
        <f>K176+K178</f>
        <v>0</v>
      </c>
      <c r="L179" s="15" t="s">
        <v>441</v>
      </c>
      <c r="M179" s="15">
        <f aca="true" t="shared" si="27" ref="M179:X179">M176+M178</f>
        <v>520</v>
      </c>
      <c r="N179" s="15">
        <f t="shared" si="27"/>
        <v>2640</v>
      </c>
      <c r="O179" s="16">
        <f t="shared" si="27"/>
        <v>1564.0347826086957</v>
      </c>
      <c r="P179" s="15">
        <f t="shared" si="27"/>
        <v>3</v>
      </c>
      <c r="Q179" s="15">
        <f t="shared" si="27"/>
        <v>950</v>
      </c>
      <c r="R179" s="16">
        <f t="shared" si="27"/>
        <v>2092.1780479999998</v>
      </c>
      <c r="S179" s="16">
        <f t="shared" si="27"/>
        <v>836.8712192</v>
      </c>
      <c r="T179" s="16">
        <f t="shared" si="27"/>
        <v>418.4356096</v>
      </c>
      <c r="U179" s="16">
        <f t="shared" si="27"/>
        <v>418.4356096</v>
      </c>
      <c r="V179" s="16">
        <f t="shared" si="27"/>
        <v>418.4356096</v>
      </c>
      <c r="W179" s="16">
        <f t="shared" si="27"/>
        <v>0</v>
      </c>
      <c r="X179" s="16">
        <f t="shared" si="27"/>
        <v>0</v>
      </c>
      <c r="Y179" s="4">
        <f t="shared" si="26"/>
        <v>836.8712192</v>
      </c>
    </row>
    <row r="180" spans="1:25" ht="12.75" customHeight="1" outlineLevel="2">
      <c r="A180" s="160">
        <v>1</v>
      </c>
      <c r="B180" s="162" t="s">
        <v>154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4">
        <f t="shared" si="26"/>
        <v>0</v>
      </c>
    </row>
    <row r="181" spans="1:25" ht="18" outlineLevel="2">
      <c r="A181" s="160"/>
      <c r="B181" s="15">
        <f>D181+G181+J181</f>
        <v>224</v>
      </c>
      <c r="C181" s="15">
        <f>E181+H181+K181</f>
        <v>472.4</v>
      </c>
      <c r="D181" s="15">
        <v>224</v>
      </c>
      <c r="E181" s="8">
        <f>Z15*AA15+Z11*AA11</f>
        <v>472.4</v>
      </c>
      <c r="F181" s="15" t="s">
        <v>433</v>
      </c>
      <c r="G181" s="15"/>
      <c r="H181" s="15"/>
      <c r="I181" s="15"/>
      <c r="J181" s="15"/>
      <c r="K181" s="15"/>
      <c r="L181" s="15"/>
      <c r="M181" s="15">
        <v>220</v>
      </c>
      <c r="N181" s="15">
        <v>840</v>
      </c>
      <c r="O181" s="8">
        <f>C181/0.92</f>
        <v>513.4782608695651</v>
      </c>
      <c r="P181" s="15">
        <v>2</v>
      </c>
      <c r="Q181" s="15">
        <v>320</v>
      </c>
      <c r="R181" s="8">
        <f>1.454*C181</f>
        <v>686.8696</v>
      </c>
      <c r="S181" s="9">
        <f>E181*1.454*0.4</f>
        <v>274.74784</v>
      </c>
      <c r="T181" s="9">
        <f>E181*1.454*0.2</f>
        <v>137.37392</v>
      </c>
      <c r="U181" s="9">
        <f>E181*1.454*0.2</f>
        <v>137.37392</v>
      </c>
      <c r="V181" s="9">
        <f>E181*1.454*0.2</f>
        <v>137.37392</v>
      </c>
      <c r="W181" s="9">
        <f>H181*1.454</f>
        <v>0</v>
      </c>
      <c r="X181" s="9">
        <f>K181*1.454</f>
        <v>0</v>
      </c>
      <c r="Y181" s="4">
        <f t="shared" si="26"/>
        <v>274.74784</v>
      </c>
    </row>
    <row r="182" spans="1:25" ht="12.75" customHeight="1" outlineLevel="2">
      <c r="A182" s="160">
        <v>1</v>
      </c>
      <c r="B182" s="162" t="s">
        <v>155</v>
      </c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4">
        <f t="shared" si="26"/>
        <v>0</v>
      </c>
    </row>
    <row r="183" spans="1:25" ht="18" outlineLevel="2">
      <c r="A183" s="160"/>
      <c r="B183" s="15">
        <f>D183+G183+J183</f>
        <v>160</v>
      </c>
      <c r="C183" s="15">
        <f>E183+H183+K183</f>
        <v>326.4</v>
      </c>
      <c r="D183" s="15">
        <v>160</v>
      </c>
      <c r="E183" s="8">
        <f>D183*FORECAST(D183,AA$14:AA$15,Z$14:Z$15)</f>
        <v>326.4</v>
      </c>
      <c r="F183" s="15" t="s">
        <v>433</v>
      </c>
      <c r="G183" s="15"/>
      <c r="H183" s="15"/>
      <c r="I183" s="15"/>
      <c r="J183" s="15"/>
      <c r="K183" s="15"/>
      <c r="L183" s="15"/>
      <c r="M183" s="15">
        <v>180</v>
      </c>
      <c r="N183" s="15">
        <v>600</v>
      </c>
      <c r="O183" s="8">
        <f>C183/0.92</f>
        <v>354.78260869565213</v>
      </c>
      <c r="P183" s="15">
        <v>2</v>
      </c>
      <c r="Q183" s="15">
        <v>200</v>
      </c>
      <c r="R183" s="8">
        <f>1.454*C183</f>
        <v>474.58559999999994</v>
      </c>
      <c r="S183" s="9">
        <f>E183*1.454*0.4</f>
        <v>189.83424</v>
      </c>
      <c r="T183" s="9">
        <f>E183*1.454*0.2</f>
        <v>94.91712</v>
      </c>
      <c r="U183" s="9">
        <f>E183*1.454*0.2</f>
        <v>94.91712</v>
      </c>
      <c r="V183" s="9">
        <f>E183*1.454*0.2</f>
        <v>94.91712</v>
      </c>
      <c r="W183" s="9">
        <f>H183*1.454</f>
        <v>0</v>
      </c>
      <c r="X183" s="9">
        <f>K183*1.454</f>
        <v>0</v>
      </c>
      <c r="Y183" s="4">
        <f t="shared" si="26"/>
        <v>189.83424</v>
      </c>
    </row>
    <row r="184" spans="1:25" ht="12.75" customHeight="1" outlineLevel="2">
      <c r="A184" s="160">
        <v>1</v>
      </c>
      <c r="B184" s="162" t="s">
        <v>156</v>
      </c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4">
        <f t="shared" si="26"/>
        <v>0</v>
      </c>
    </row>
    <row r="185" spans="1:25" ht="18" outlineLevel="2">
      <c r="A185" s="160"/>
      <c r="B185" s="15">
        <f>D185+G185+J185</f>
        <v>136</v>
      </c>
      <c r="C185" s="16">
        <f>E185+H185+K185</f>
        <v>283.968</v>
      </c>
      <c r="D185" s="15">
        <f>136</f>
        <v>136</v>
      </c>
      <c r="E185" s="8">
        <f>D185*FORECAST(D185,AA$14:AA$15,Z$14:Z$15)</f>
        <v>283.968</v>
      </c>
      <c r="F185" s="15" t="s">
        <v>433</v>
      </c>
      <c r="G185" s="15"/>
      <c r="H185" s="15"/>
      <c r="I185" s="15"/>
      <c r="J185" s="15"/>
      <c r="K185" s="15"/>
      <c r="L185" s="15"/>
      <c r="M185" s="15">
        <v>100</v>
      </c>
      <c r="N185" s="15">
        <v>1900</v>
      </c>
      <c r="O185" s="8">
        <f>C185/0.92</f>
        <v>308.6608695652174</v>
      </c>
      <c r="P185" s="15">
        <v>1</v>
      </c>
      <c r="Q185" s="15">
        <v>500</v>
      </c>
      <c r="R185" s="8">
        <f>1.454*C185</f>
        <v>412.889472</v>
      </c>
      <c r="S185" s="9">
        <f>E185*1.454*0.4</f>
        <v>165.1557888</v>
      </c>
      <c r="T185" s="9">
        <f>E185*1.454*0.2</f>
        <v>82.5778944</v>
      </c>
      <c r="U185" s="9">
        <f>E185*1.454*0.2</f>
        <v>82.5778944</v>
      </c>
      <c r="V185" s="9">
        <f>E185*1.454*0.2</f>
        <v>82.5778944</v>
      </c>
      <c r="W185" s="9">
        <f>H185*1.454</f>
        <v>0</v>
      </c>
      <c r="X185" s="9">
        <f>K185*1.454</f>
        <v>0</v>
      </c>
      <c r="Y185" s="4">
        <f t="shared" si="26"/>
        <v>165.1557888</v>
      </c>
    </row>
    <row r="186" spans="1:25" ht="12.75" customHeight="1" outlineLevel="2">
      <c r="A186" s="160">
        <v>2</v>
      </c>
      <c r="B186" s="162" t="s">
        <v>16</v>
      </c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4">
        <f t="shared" si="26"/>
        <v>0</v>
      </c>
    </row>
    <row r="187" spans="1:25" ht="18" outlineLevel="2">
      <c r="A187" s="160"/>
      <c r="B187" s="16">
        <f>D187+G187+J187</f>
        <v>100</v>
      </c>
      <c r="C187" s="16">
        <f>E187+H187+K187</f>
        <v>216</v>
      </c>
      <c r="D187" s="15">
        <f>100</f>
        <v>100</v>
      </c>
      <c r="E187" s="8">
        <f>D187*FORECAST(D187,AA$14:AA$15,Z$14:Z$15)</f>
        <v>216</v>
      </c>
      <c r="F187" s="15" t="s">
        <v>433</v>
      </c>
      <c r="G187" s="15"/>
      <c r="H187" s="15"/>
      <c r="I187" s="15"/>
      <c r="J187" s="15"/>
      <c r="K187" s="15"/>
      <c r="L187" s="15"/>
      <c r="M187" s="15">
        <v>100</v>
      </c>
      <c r="N187" s="15">
        <v>2800</v>
      </c>
      <c r="O187" s="8">
        <f>C187/0.92</f>
        <v>234.78260869565216</v>
      </c>
      <c r="P187" s="15">
        <v>2</v>
      </c>
      <c r="Q187" s="15">
        <v>500</v>
      </c>
      <c r="R187" s="8">
        <f>1.454*C187</f>
        <v>314.06399999999996</v>
      </c>
      <c r="S187" s="9">
        <f>E187*1.454*0.4</f>
        <v>125.62559999999999</v>
      </c>
      <c r="T187" s="9">
        <f>E187*1.454*0.2</f>
        <v>62.812799999999996</v>
      </c>
      <c r="U187" s="9">
        <f>E187*1.454*0.2</f>
        <v>62.812799999999996</v>
      </c>
      <c r="V187" s="9">
        <f>E187*1.454*0.2</f>
        <v>62.812799999999996</v>
      </c>
      <c r="W187" s="9">
        <f>H187*1.454</f>
        <v>0</v>
      </c>
      <c r="X187" s="9">
        <f>K187*1.454</f>
        <v>0</v>
      </c>
      <c r="Y187" s="4">
        <f t="shared" si="26"/>
        <v>125.62559999999999</v>
      </c>
    </row>
    <row r="188" spans="1:25" ht="36" outlineLevel="2">
      <c r="A188" s="6" t="s">
        <v>431</v>
      </c>
      <c r="B188" s="6">
        <f>B185+B187</f>
        <v>236</v>
      </c>
      <c r="C188" s="19">
        <f>C185+C187</f>
        <v>499.968</v>
      </c>
      <c r="D188" s="6">
        <f>D185+D187</f>
        <v>236</v>
      </c>
      <c r="E188" s="19">
        <f>E185+E187</f>
        <v>499.968</v>
      </c>
      <c r="F188" s="6" t="s">
        <v>433</v>
      </c>
      <c r="G188" s="6">
        <f>G185+G187</f>
        <v>0</v>
      </c>
      <c r="H188" s="6">
        <f>H185+H187</f>
        <v>0</v>
      </c>
      <c r="I188" s="6" t="s">
        <v>441</v>
      </c>
      <c r="J188" s="6">
        <f>J185+J187</f>
        <v>0</v>
      </c>
      <c r="K188" s="6">
        <f>K185+K187</f>
        <v>0</v>
      </c>
      <c r="L188" s="6" t="s">
        <v>441</v>
      </c>
      <c r="M188" s="6">
        <f aca="true" t="shared" si="28" ref="M188:X188">M185+M187</f>
        <v>200</v>
      </c>
      <c r="N188" s="6">
        <f t="shared" si="28"/>
        <v>4700</v>
      </c>
      <c r="O188" s="19">
        <f t="shared" si="28"/>
        <v>543.4434782608696</v>
      </c>
      <c r="P188" s="6">
        <f t="shared" si="28"/>
        <v>3</v>
      </c>
      <c r="Q188" s="6">
        <f t="shared" si="28"/>
        <v>1000</v>
      </c>
      <c r="R188" s="19">
        <f t="shared" si="28"/>
        <v>726.9534719999999</v>
      </c>
      <c r="S188" s="19">
        <f t="shared" si="28"/>
        <v>290.7813888</v>
      </c>
      <c r="T188" s="19">
        <f t="shared" si="28"/>
        <v>145.3906944</v>
      </c>
      <c r="U188" s="19">
        <f t="shared" si="28"/>
        <v>145.3906944</v>
      </c>
      <c r="V188" s="19">
        <f t="shared" si="28"/>
        <v>145.3906944</v>
      </c>
      <c r="W188" s="19">
        <f t="shared" si="28"/>
        <v>0</v>
      </c>
      <c r="X188" s="19">
        <f t="shared" si="28"/>
        <v>0</v>
      </c>
      <c r="Y188" s="4">
        <f t="shared" si="26"/>
        <v>290.7813888</v>
      </c>
    </row>
    <row r="189" spans="1:25" ht="12.75" customHeight="1" outlineLevel="2">
      <c r="A189" s="160">
        <v>1</v>
      </c>
      <c r="B189" s="162" t="s">
        <v>157</v>
      </c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4">
        <f t="shared" si="26"/>
        <v>0</v>
      </c>
    </row>
    <row r="190" spans="1:25" ht="18" outlineLevel="2">
      <c r="A190" s="160"/>
      <c r="B190" s="15">
        <f>D190+G190+J190</f>
        <v>198</v>
      </c>
      <c r="C190" s="16">
        <f>E190+H190+K190</f>
        <v>388.872</v>
      </c>
      <c r="D190" s="15">
        <v>198</v>
      </c>
      <c r="E190" s="8">
        <f>D190*FORECAST(D190,AA$14:AA$15,Z$14:Z$15)</f>
        <v>388.872</v>
      </c>
      <c r="F190" s="15" t="s">
        <v>433</v>
      </c>
      <c r="G190" s="15"/>
      <c r="H190" s="15"/>
      <c r="I190" s="15"/>
      <c r="J190" s="15"/>
      <c r="K190" s="15"/>
      <c r="L190" s="15"/>
      <c r="M190" s="15">
        <v>240</v>
      </c>
      <c r="N190" s="15">
        <v>744</v>
      </c>
      <c r="O190" s="8">
        <f>C190/0.92</f>
        <v>422.68695652173915</v>
      </c>
      <c r="P190" s="15">
        <v>1</v>
      </c>
      <c r="Q190" s="15">
        <v>250</v>
      </c>
      <c r="R190" s="8">
        <f>1.454*C190</f>
        <v>565.419888</v>
      </c>
      <c r="S190" s="9">
        <f>E190*1.454*0.4</f>
        <v>226.16795520000002</v>
      </c>
      <c r="T190" s="9">
        <f>E190*1.454*0.2</f>
        <v>113.08397760000001</v>
      </c>
      <c r="U190" s="9">
        <f>E190*1.454*0.2</f>
        <v>113.08397760000001</v>
      </c>
      <c r="V190" s="9">
        <f>E190*1.454*0.2</f>
        <v>113.08397760000001</v>
      </c>
      <c r="W190" s="9">
        <f>H190*1.454</f>
        <v>0</v>
      </c>
      <c r="X190" s="9">
        <f>K190*1.454</f>
        <v>0</v>
      </c>
      <c r="Y190" s="4">
        <f t="shared" si="26"/>
        <v>226.16795520000002</v>
      </c>
    </row>
    <row r="191" spans="1:25" ht="12.75" customHeight="1" outlineLevel="2">
      <c r="A191" s="160">
        <v>2</v>
      </c>
      <c r="B191" s="162" t="s">
        <v>158</v>
      </c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4">
        <f t="shared" si="26"/>
        <v>0</v>
      </c>
    </row>
    <row r="192" spans="1:25" ht="18" outlineLevel="2">
      <c r="A192" s="160"/>
      <c r="B192" s="15">
        <f>D192+G192+J192</f>
        <v>202</v>
      </c>
      <c r="C192" s="16">
        <f>E192+H192+K192</f>
        <v>412.44</v>
      </c>
      <c r="D192" s="15">
        <v>202</v>
      </c>
      <c r="E192" s="8">
        <f>Z15*AA15+2*FORECAST(2,AA$4:AA$5,Z$4:Z$5)</f>
        <v>412.44</v>
      </c>
      <c r="F192" s="15" t="s">
        <v>433</v>
      </c>
      <c r="G192" s="15"/>
      <c r="H192" s="15"/>
      <c r="I192" s="15"/>
      <c r="J192" s="15"/>
      <c r="K192" s="15"/>
      <c r="L192" s="15"/>
      <c r="M192" s="15">
        <v>210</v>
      </c>
      <c r="N192" s="15">
        <v>756</v>
      </c>
      <c r="O192" s="8">
        <f>C192/0.92</f>
        <v>448.30434782608694</v>
      </c>
      <c r="P192" s="15">
        <v>1</v>
      </c>
      <c r="Q192" s="15">
        <v>250</v>
      </c>
      <c r="R192" s="8">
        <f>1.454*C192</f>
        <v>599.68776</v>
      </c>
      <c r="S192" s="9">
        <f>E192*1.454*0.4</f>
        <v>239.87510400000002</v>
      </c>
      <c r="T192" s="9">
        <f>E192*1.454*0.2</f>
        <v>119.93755200000001</v>
      </c>
      <c r="U192" s="9">
        <f>E192*1.454*0.2</f>
        <v>119.93755200000001</v>
      </c>
      <c r="V192" s="9">
        <f>E192*1.454*0.2</f>
        <v>119.93755200000001</v>
      </c>
      <c r="W192" s="9">
        <f>H192*1.454</f>
        <v>0</v>
      </c>
      <c r="X192" s="9">
        <f>K192*1.454</f>
        <v>0</v>
      </c>
      <c r="Y192" s="4">
        <f t="shared" si="26"/>
        <v>239.87510400000002</v>
      </c>
    </row>
    <row r="193" spans="1:25" ht="36" outlineLevel="2">
      <c r="A193" s="6" t="s">
        <v>431</v>
      </c>
      <c r="B193" s="6">
        <f>B190+B192</f>
        <v>400</v>
      </c>
      <c r="C193" s="19">
        <f>C190+C192</f>
        <v>801.312</v>
      </c>
      <c r="D193" s="6">
        <f>D190+D192</f>
        <v>400</v>
      </c>
      <c r="E193" s="19">
        <f>E190+E192</f>
        <v>801.312</v>
      </c>
      <c r="F193" s="6" t="s">
        <v>433</v>
      </c>
      <c r="G193" s="6">
        <f>G190+G192</f>
        <v>0</v>
      </c>
      <c r="H193" s="6">
        <f>H190+H192</f>
        <v>0</v>
      </c>
      <c r="I193" s="6" t="s">
        <v>441</v>
      </c>
      <c r="J193" s="6">
        <f>J190+J192</f>
        <v>0</v>
      </c>
      <c r="K193" s="6">
        <f>K190+K192</f>
        <v>0</v>
      </c>
      <c r="L193" s="6" t="s">
        <v>441</v>
      </c>
      <c r="M193" s="6">
        <f aca="true" t="shared" si="29" ref="M193:X193">M190+M192</f>
        <v>450</v>
      </c>
      <c r="N193" s="6">
        <f t="shared" si="29"/>
        <v>1500</v>
      </c>
      <c r="O193" s="19">
        <f t="shared" si="29"/>
        <v>870.9913043478261</v>
      </c>
      <c r="P193" s="6">
        <f t="shared" si="29"/>
        <v>2</v>
      </c>
      <c r="Q193" s="6">
        <f t="shared" si="29"/>
        <v>500</v>
      </c>
      <c r="R193" s="19">
        <f t="shared" si="29"/>
        <v>1165.1076480000002</v>
      </c>
      <c r="S193" s="19">
        <f t="shared" si="29"/>
        <v>466.0430592</v>
      </c>
      <c r="T193" s="19">
        <f t="shared" si="29"/>
        <v>233.0215296</v>
      </c>
      <c r="U193" s="19">
        <f t="shared" si="29"/>
        <v>233.0215296</v>
      </c>
      <c r="V193" s="19">
        <f t="shared" si="29"/>
        <v>233.0215296</v>
      </c>
      <c r="W193" s="19">
        <f t="shared" si="29"/>
        <v>0</v>
      </c>
      <c r="X193" s="19">
        <f t="shared" si="29"/>
        <v>0</v>
      </c>
      <c r="Y193" s="4">
        <f t="shared" si="26"/>
        <v>466.0430592</v>
      </c>
    </row>
    <row r="194" spans="1:25" ht="12.75" customHeight="1" outlineLevel="2">
      <c r="A194" s="160">
        <v>1</v>
      </c>
      <c r="B194" s="162" t="s">
        <v>159</v>
      </c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4">
        <f t="shared" si="26"/>
        <v>0</v>
      </c>
    </row>
    <row r="195" spans="1:25" ht="18" outlineLevel="2">
      <c r="A195" s="160"/>
      <c r="B195" s="15">
        <f>D195+G195+J195</f>
        <v>250</v>
      </c>
      <c r="C195" s="15">
        <f>E195+H195+K195</f>
        <v>518</v>
      </c>
      <c r="D195" s="15">
        <v>250</v>
      </c>
      <c r="E195" s="8">
        <f>Z15*AA15+50*FORECAST(50,AA$12:AA$13,Z$12:Z$13)</f>
        <v>518</v>
      </c>
      <c r="F195" s="15" t="s">
        <v>433</v>
      </c>
      <c r="G195" s="15"/>
      <c r="H195" s="15"/>
      <c r="I195" s="15"/>
      <c r="J195" s="15"/>
      <c r="K195" s="15"/>
      <c r="L195" s="15"/>
      <c r="M195" s="15">
        <v>250</v>
      </c>
      <c r="N195" s="15">
        <v>1200</v>
      </c>
      <c r="O195" s="8">
        <f>C195/0.92</f>
        <v>563.0434782608695</v>
      </c>
      <c r="P195" s="15">
        <v>1</v>
      </c>
      <c r="Q195" s="15">
        <v>400</v>
      </c>
      <c r="R195" s="8">
        <f>1.454*C195</f>
        <v>753.172</v>
      </c>
      <c r="S195" s="9">
        <f>E195*1.454*0.4</f>
        <v>301.2688</v>
      </c>
      <c r="T195" s="9">
        <f>E195*1.454*0.2</f>
        <v>150.6344</v>
      </c>
      <c r="U195" s="9">
        <f>E195*1.454*0.2</f>
        <v>150.6344</v>
      </c>
      <c r="V195" s="9">
        <f>E195*1.454*0.2</f>
        <v>150.6344</v>
      </c>
      <c r="W195" s="9">
        <f>H195*1.454</f>
        <v>0</v>
      </c>
      <c r="X195" s="9">
        <f>K195*1.454</f>
        <v>0</v>
      </c>
      <c r="Y195" s="4">
        <f t="shared" si="26"/>
        <v>301.2688</v>
      </c>
    </row>
    <row r="196" spans="1:25" ht="12.75" customHeight="1" outlineLevel="2">
      <c r="A196" s="160">
        <v>1</v>
      </c>
      <c r="B196" s="162" t="s">
        <v>160</v>
      </c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4">
        <f t="shared" si="26"/>
        <v>0</v>
      </c>
    </row>
    <row r="197" spans="1:25" ht="18" outlineLevel="2">
      <c r="A197" s="160"/>
      <c r="B197" s="15">
        <f>D197+G197+J197</f>
        <v>103</v>
      </c>
      <c r="C197" s="16">
        <f>E197+H197+K197</f>
        <v>221.862</v>
      </c>
      <c r="D197" s="15">
        <v>103</v>
      </c>
      <c r="E197" s="8">
        <f>D197*FORECAST(D197,AA$14:AA$15,Z$14:Z$15)</f>
        <v>221.862</v>
      </c>
      <c r="F197" s="15" t="s">
        <v>433</v>
      </c>
      <c r="G197" s="15"/>
      <c r="H197" s="15"/>
      <c r="I197" s="15"/>
      <c r="J197" s="15"/>
      <c r="K197" s="15"/>
      <c r="L197" s="15"/>
      <c r="M197" s="15">
        <v>100</v>
      </c>
      <c r="N197" s="15">
        <v>384</v>
      </c>
      <c r="O197" s="8">
        <f>C197/0.92</f>
        <v>241.15434782608693</v>
      </c>
      <c r="P197" s="15">
        <v>1</v>
      </c>
      <c r="Q197" s="15">
        <v>160</v>
      </c>
      <c r="R197" s="8">
        <f>1.454*C197</f>
        <v>322.58734799999996</v>
      </c>
      <c r="S197" s="9">
        <f>E197*1.454*0.4</f>
        <v>129.0349392</v>
      </c>
      <c r="T197" s="9">
        <f>E197*1.454*0.2</f>
        <v>64.5174696</v>
      </c>
      <c r="U197" s="9">
        <f>E197*1.454*0.2</f>
        <v>64.5174696</v>
      </c>
      <c r="V197" s="9">
        <f>E197*1.454*0.2</f>
        <v>64.5174696</v>
      </c>
      <c r="W197" s="9">
        <f>H197*1.454</f>
        <v>0</v>
      </c>
      <c r="X197" s="9">
        <f>K197*1.454</f>
        <v>0</v>
      </c>
      <c r="Y197" s="4">
        <f t="shared" si="26"/>
        <v>129.0349392</v>
      </c>
    </row>
    <row r="198" spans="1:25" ht="12.75" customHeight="1" outlineLevel="2">
      <c r="A198" s="160">
        <v>1</v>
      </c>
      <c r="B198" s="162" t="s">
        <v>161</v>
      </c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4">
        <f t="shared" si="26"/>
        <v>0</v>
      </c>
    </row>
    <row r="199" spans="1:25" ht="18" outlineLevel="2">
      <c r="A199" s="160"/>
      <c r="B199" s="15">
        <f>D199+G199+J199</f>
        <v>96</v>
      </c>
      <c r="C199" s="16">
        <f>E199+H199+K199</f>
        <v>209.47200000000004</v>
      </c>
      <c r="D199" s="15">
        <v>96</v>
      </c>
      <c r="E199" s="8">
        <f>D199*FORECAST(D199,AA$13:AA$14,Z$13:Z$14)</f>
        <v>209.47200000000004</v>
      </c>
      <c r="F199" s="15" t="s">
        <v>433</v>
      </c>
      <c r="G199" s="15"/>
      <c r="H199" s="15"/>
      <c r="I199" s="15"/>
      <c r="J199" s="15"/>
      <c r="K199" s="15"/>
      <c r="L199" s="15"/>
      <c r="M199" s="15">
        <v>120</v>
      </c>
      <c r="N199" s="15">
        <v>360</v>
      </c>
      <c r="O199" s="8">
        <f>C199/0.92</f>
        <v>227.68695652173915</v>
      </c>
      <c r="P199" s="15">
        <v>1</v>
      </c>
      <c r="Q199" s="15">
        <v>160</v>
      </c>
      <c r="R199" s="8">
        <f>1.454*C199</f>
        <v>304.57228800000007</v>
      </c>
      <c r="S199" s="9">
        <f>E199*1.454*0.4</f>
        <v>121.82891520000004</v>
      </c>
      <c r="T199" s="9">
        <f>E199*1.454*0.2</f>
        <v>60.91445760000002</v>
      </c>
      <c r="U199" s="9">
        <f>E199*1.454*0.2</f>
        <v>60.91445760000002</v>
      </c>
      <c r="V199" s="9">
        <f>E199*1.454*0.2</f>
        <v>60.91445760000002</v>
      </c>
      <c r="W199" s="9">
        <f>H199*1.454</f>
        <v>0</v>
      </c>
      <c r="X199" s="9">
        <f>K199*1.454</f>
        <v>0</v>
      </c>
      <c r="Y199" s="4">
        <f t="shared" si="26"/>
        <v>121.82891520000004</v>
      </c>
    </row>
    <row r="200" spans="1:25" ht="12.75" customHeight="1" outlineLevel="2">
      <c r="A200" s="160">
        <v>1</v>
      </c>
      <c r="B200" s="162" t="s">
        <v>162</v>
      </c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4">
        <f t="shared" si="26"/>
        <v>0</v>
      </c>
    </row>
    <row r="201" spans="1:25" ht="18" outlineLevel="2">
      <c r="A201" s="160"/>
      <c r="B201" s="15">
        <f>D201+G201+J201</f>
        <v>640</v>
      </c>
      <c r="C201" s="15">
        <f>E201+H201+K201</f>
        <v>1282.4</v>
      </c>
      <c r="D201" s="15">
        <v>640</v>
      </c>
      <c r="E201" s="8">
        <f>Z15*AA15*3+Z12*AA12</f>
        <v>1282.4</v>
      </c>
      <c r="F201" s="15" t="s">
        <v>433</v>
      </c>
      <c r="G201" s="15"/>
      <c r="H201" s="15"/>
      <c r="I201" s="15"/>
      <c r="J201" s="15"/>
      <c r="K201" s="15"/>
      <c r="L201" s="15"/>
      <c r="M201" s="15">
        <v>380</v>
      </c>
      <c r="N201" s="15">
        <v>2400</v>
      </c>
      <c r="O201" s="8">
        <f>C201/0.92</f>
        <v>1393.913043478261</v>
      </c>
      <c r="P201" s="15">
        <v>2</v>
      </c>
      <c r="Q201" s="15">
        <v>800</v>
      </c>
      <c r="R201" s="8">
        <f>1.454*C201</f>
        <v>1864.6096</v>
      </c>
      <c r="S201" s="9">
        <f>E201*1.454*0.4</f>
        <v>745.84384</v>
      </c>
      <c r="T201" s="9">
        <f>E201*1.454*0.2</f>
        <v>372.92192</v>
      </c>
      <c r="U201" s="9">
        <f>E201*1.454*0.2</f>
        <v>372.92192</v>
      </c>
      <c r="V201" s="9">
        <f>E201*1.454*0.2</f>
        <v>372.92192</v>
      </c>
      <c r="W201" s="9">
        <f>H201*1.454</f>
        <v>0</v>
      </c>
      <c r="X201" s="9">
        <f>K201*1.454</f>
        <v>0</v>
      </c>
      <c r="Y201" s="4">
        <f t="shared" si="26"/>
        <v>745.84384</v>
      </c>
    </row>
    <row r="202" spans="1:25" ht="12.75" customHeight="1" outlineLevel="2">
      <c r="A202" s="160">
        <v>1</v>
      </c>
      <c r="B202" s="162" t="s">
        <v>163</v>
      </c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4">
        <f t="shared" si="26"/>
        <v>0</v>
      </c>
    </row>
    <row r="203" spans="1:25" ht="18" outlineLevel="2">
      <c r="A203" s="160"/>
      <c r="B203" s="15">
        <f>D203+G203+J203</f>
        <v>480</v>
      </c>
      <c r="C203" s="15">
        <f>E203+H203+K203</f>
        <v>965.6</v>
      </c>
      <c r="D203" s="15">
        <v>480</v>
      </c>
      <c r="E203" s="8">
        <f>Z15*AA15*2+80*FORECAST(80,AA$13:AA$14,Z$13:Z$14)</f>
        <v>965.6</v>
      </c>
      <c r="F203" s="15" t="s">
        <v>433</v>
      </c>
      <c r="G203" s="15"/>
      <c r="H203" s="15"/>
      <c r="I203" s="15"/>
      <c r="J203" s="15"/>
      <c r="K203" s="15"/>
      <c r="L203" s="15"/>
      <c r="M203" s="15">
        <v>420</v>
      </c>
      <c r="N203" s="15">
        <v>1800</v>
      </c>
      <c r="O203" s="8">
        <f>C203/0.92</f>
        <v>1049.5652173913043</v>
      </c>
      <c r="P203" s="15">
        <v>1</v>
      </c>
      <c r="Q203" s="15">
        <v>630</v>
      </c>
      <c r="R203" s="8">
        <f>1.454*C203</f>
        <v>1403.9824</v>
      </c>
      <c r="S203" s="9">
        <f>E203*1.454*0.4</f>
        <v>561.5929600000001</v>
      </c>
      <c r="T203" s="9">
        <f>E203*1.454*0.2</f>
        <v>280.79648000000003</v>
      </c>
      <c r="U203" s="9">
        <f>E203*1.454*0.2</f>
        <v>280.79648000000003</v>
      </c>
      <c r="V203" s="9">
        <f>E203*1.454*0.2</f>
        <v>280.79648000000003</v>
      </c>
      <c r="W203" s="9">
        <f>H203*1.454</f>
        <v>0</v>
      </c>
      <c r="X203" s="9">
        <f>K203*1.454</f>
        <v>0</v>
      </c>
      <c r="Y203" s="4">
        <f t="shared" si="26"/>
        <v>561.5929600000001</v>
      </c>
    </row>
    <row r="204" spans="1:25" ht="12.75" customHeight="1" outlineLevel="2">
      <c r="A204" s="160">
        <v>1</v>
      </c>
      <c r="B204" s="162" t="s">
        <v>164</v>
      </c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4">
        <f t="shared" si="26"/>
        <v>0</v>
      </c>
    </row>
    <row r="205" spans="1:25" ht="18" outlineLevel="2">
      <c r="A205" s="160"/>
      <c r="B205" s="15">
        <f>D205+G205+J205</f>
        <v>320</v>
      </c>
      <c r="C205" s="15">
        <f>E205+H205+K205</f>
        <v>646.4</v>
      </c>
      <c r="D205" s="15">
        <v>320</v>
      </c>
      <c r="E205" s="8">
        <f>Z15*AA15+120*FORECAST(120,AA$14:AA$15,Z$14:Z$15)</f>
        <v>646.4</v>
      </c>
      <c r="F205" s="15" t="s">
        <v>433</v>
      </c>
      <c r="G205" s="15"/>
      <c r="H205" s="15"/>
      <c r="I205" s="15"/>
      <c r="J205" s="15"/>
      <c r="K205" s="15"/>
      <c r="L205" s="15"/>
      <c r="M205" s="15">
        <v>250</v>
      </c>
      <c r="N205" s="15">
        <v>1200</v>
      </c>
      <c r="O205" s="8">
        <f>C205/0.92</f>
        <v>702.6086956521739</v>
      </c>
      <c r="P205" s="15">
        <v>1</v>
      </c>
      <c r="Q205" s="15">
        <v>400</v>
      </c>
      <c r="R205" s="8">
        <f>1.454*C205</f>
        <v>939.8656</v>
      </c>
      <c r="S205" s="9">
        <f>E205*1.454*0.4</f>
        <v>375.94624</v>
      </c>
      <c r="T205" s="9">
        <f>E205*1.454*0.2</f>
        <v>187.97312</v>
      </c>
      <c r="U205" s="9">
        <f>E205*1.454*0.2</f>
        <v>187.97312</v>
      </c>
      <c r="V205" s="9">
        <f>E205*1.454*0.2</f>
        <v>187.97312</v>
      </c>
      <c r="W205" s="9">
        <f>H205*1.454</f>
        <v>0</v>
      </c>
      <c r="X205" s="9">
        <f>K205*1.454</f>
        <v>0</v>
      </c>
      <c r="Y205" s="4">
        <f t="shared" si="26"/>
        <v>375.94624</v>
      </c>
    </row>
    <row r="206" spans="1:25" ht="12.75" customHeight="1" outlineLevel="2">
      <c r="A206" s="160">
        <v>1</v>
      </c>
      <c r="B206" s="162" t="s">
        <v>165</v>
      </c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4">
        <f t="shared" si="26"/>
        <v>0</v>
      </c>
    </row>
    <row r="207" spans="1:25" ht="18" outlineLevel="2">
      <c r="A207" s="160"/>
      <c r="B207" s="15">
        <f>D207+G207+J207</f>
        <v>192</v>
      </c>
      <c r="C207" s="15">
        <f>E207+H207+K207</f>
        <v>379.392</v>
      </c>
      <c r="D207" s="15">
        <v>192</v>
      </c>
      <c r="E207" s="8">
        <f>D207*FORECAST(D207,AA$14:AA$15,Z$14:Z$15)</f>
        <v>379.392</v>
      </c>
      <c r="F207" s="15" t="s">
        <v>433</v>
      </c>
      <c r="G207" s="15"/>
      <c r="H207" s="15"/>
      <c r="I207" s="15"/>
      <c r="J207" s="15"/>
      <c r="K207" s="15"/>
      <c r="L207" s="15"/>
      <c r="M207" s="15">
        <v>220</v>
      </c>
      <c r="N207" s="15">
        <v>720</v>
      </c>
      <c r="O207" s="8">
        <f>C207/0.92</f>
        <v>412.38260869565215</v>
      </c>
      <c r="P207" s="15">
        <v>1</v>
      </c>
      <c r="Q207" s="15">
        <v>250</v>
      </c>
      <c r="R207" s="8">
        <f>1.454*C207</f>
        <v>551.6359679999999</v>
      </c>
      <c r="S207" s="9">
        <f>E207*1.454*0.4</f>
        <v>220.65438719999997</v>
      </c>
      <c r="T207" s="9">
        <f>E207*1.454*0.2</f>
        <v>110.32719359999999</v>
      </c>
      <c r="U207" s="9">
        <f>E207*1.454*0.2</f>
        <v>110.32719359999999</v>
      </c>
      <c r="V207" s="9">
        <f>E207*1.454*0.2</f>
        <v>110.32719359999999</v>
      </c>
      <c r="W207" s="9">
        <f>H207*1.454</f>
        <v>0</v>
      </c>
      <c r="X207" s="9">
        <f>K207*1.454</f>
        <v>0</v>
      </c>
      <c r="Y207" s="4">
        <f t="shared" si="26"/>
        <v>220.65438719999997</v>
      </c>
    </row>
    <row r="208" spans="1:25" ht="12.75" customHeight="1" outlineLevel="2">
      <c r="A208" s="160">
        <v>1</v>
      </c>
      <c r="B208" s="162" t="s">
        <v>166</v>
      </c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4">
        <f t="shared" si="26"/>
        <v>0</v>
      </c>
    </row>
    <row r="209" spans="1:25" ht="18" outlineLevel="2">
      <c r="A209" s="160"/>
      <c r="B209" s="15">
        <f>D209+G209+J209</f>
        <v>160</v>
      </c>
      <c r="C209" s="15">
        <f>E209+H209+K209</f>
        <v>326.4</v>
      </c>
      <c r="D209" s="15">
        <v>160</v>
      </c>
      <c r="E209" s="8">
        <f>D209*FORECAST(D209,AA$14:AA$15,Z$14:Z$15)</f>
        <v>326.4</v>
      </c>
      <c r="F209" s="15" t="s">
        <v>433</v>
      </c>
      <c r="G209" s="15"/>
      <c r="H209" s="15"/>
      <c r="I209" s="15"/>
      <c r="J209" s="15"/>
      <c r="K209" s="15"/>
      <c r="L209" s="15"/>
      <c r="M209" s="15">
        <v>180</v>
      </c>
      <c r="N209" s="15">
        <v>600</v>
      </c>
      <c r="O209" s="8">
        <f>C209/0.92</f>
        <v>354.78260869565213</v>
      </c>
      <c r="P209" s="15">
        <v>1</v>
      </c>
      <c r="Q209" s="15">
        <v>250</v>
      </c>
      <c r="R209" s="8">
        <f>1.454*C209</f>
        <v>474.58559999999994</v>
      </c>
      <c r="S209" s="9">
        <f>E209*1.454*0.4</f>
        <v>189.83424</v>
      </c>
      <c r="T209" s="9">
        <f>E209*1.454*0.2</f>
        <v>94.91712</v>
      </c>
      <c r="U209" s="9">
        <f>E209*1.454*0.2</f>
        <v>94.91712</v>
      </c>
      <c r="V209" s="9">
        <f>E209*1.454*0.2</f>
        <v>94.91712</v>
      </c>
      <c r="W209" s="9">
        <f>H209*1.454</f>
        <v>0</v>
      </c>
      <c r="X209" s="9">
        <f>K209*1.454</f>
        <v>0</v>
      </c>
      <c r="Y209" s="4">
        <f t="shared" si="26"/>
        <v>189.83424</v>
      </c>
    </row>
    <row r="210" spans="1:25" ht="12.75" customHeight="1" outlineLevel="2">
      <c r="A210" s="160">
        <v>1</v>
      </c>
      <c r="B210" s="162" t="s">
        <v>167</v>
      </c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4">
        <f t="shared" si="26"/>
        <v>0</v>
      </c>
    </row>
    <row r="211" spans="1:25" ht="18" outlineLevel="2">
      <c r="A211" s="160"/>
      <c r="B211" s="15">
        <f>D211+G211+J211</f>
        <v>65</v>
      </c>
      <c r="C211" s="16">
        <f>E211+H211+K211</f>
        <v>152.9125</v>
      </c>
      <c r="D211" s="15">
        <v>65</v>
      </c>
      <c r="E211" s="8">
        <f>D211*FORECAST(D211,AA$13:AA$14,Z$13:Z$14)</f>
        <v>152.9125</v>
      </c>
      <c r="F211" s="15" t="s">
        <v>433</v>
      </c>
      <c r="G211" s="15"/>
      <c r="H211" s="15"/>
      <c r="I211" s="15"/>
      <c r="J211" s="15"/>
      <c r="K211" s="15"/>
      <c r="L211" s="15"/>
      <c r="M211" s="15">
        <v>150</v>
      </c>
      <c r="N211" s="15">
        <v>240</v>
      </c>
      <c r="O211" s="8">
        <f>C211/0.92</f>
        <v>166.20923913043478</v>
      </c>
      <c r="P211" s="15">
        <v>1</v>
      </c>
      <c r="Q211" s="15">
        <v>100</v>
      </c>
      <c r="R211" s="8">
        <f>1.454*C211</f>
        <v>222.33477499999998</v>
      </c>
      <c r="S211" s="9">
        <f>E211*1.454*0.4</f>
        <v>88.93391</v>
      </c>
      <c r="T211" s="9">
        <f>E211*1.454*0.2</f>
        <v>44.466955</v>
      </c>
      <c r="U211" s="9">
        <f>E211*1.454*0.2</f>
        <v>44.466955</v>
      </c>
      <c r="V211" s="9">
        <f>E211*1.454*0.2</f>
        <v>44.466955</v>
      </c>
      <c r="W211" s="9">
        <f>H211*1.454</f>
        <v>0</v>
      </c>
      <c r="X211" s="9">
        <f>K211*1.454</f>
        <v>0</v>
      </c>
      <c r="Y211" s="4">
        <f t="shared" si="26"/>
        <v>88.93391</v>
      </c>
    </row>
    <row r="212" spans="1:25" ht="12.75" customHeight="1" outlineLevel="2">
      <c r="A212" s="160">
        <v>1</v>
      </c>
      <c r="B212" s="162" t="s">
        <v>168</v>
      </c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4">
        <f t="shared" si="26"/>
        <v>0</v>
      </c>
    </row>
    <row r="213" spans="1:25" ht="18" outlineLevel="2">
      <c r="A213" s="160"/>
      <c r="B213" s="15">
        <f>D213+G213+J213</f>
        <v>98</v>
      </c>
      <c r="C213" s="16">
        <f>E213+H213+K213</f>
        <v>212.75800000000004</v>
      </c>
      <c r="D213" s="15">
        <v>98</v>
      </c>
      <c r="E213" s="8">
        <f>D213*FORECAST(D213,AA$13:AA$14,Z$13:Z$14)</f>
        <v>212.75800000000004</v>
      </c>
      <c r="F213" s="15" t="s">
        <v>433</v>
      </c>
      <c r="G213" s="15"/>
      <c r="H213" s="15"/>
      <c r="I213" s="15"/>
      <c r="J213" s="15"/>
      <c r="K213" s="15"/>
      <c r="L213" s="15"/>
      <c r="M213" s="15">
        <v>200</v>
      </c>
      <c r="N213" s="15">
        <v>360</v>
      </c>
      <c r="O213" s="8">
        <f>C213/0.92</f>
        <v>231.25869565217394</v>
      </c>
      <c r="P213" s="15">
        <v>1</v>
      </c>
      <c r="Q213" s="15">
        <v>160</v>
      </c>
      <c r="R213" s="8">
        <f>1.454*C213</f>
        <v>309.35013200000003</v>
      </c>
      <c r="S213" s="9">
        <f>E213*1.454*0.4</f>
        <v>123.74005280000002</v>
      </c>
      <c r="T213" s="9">
        <f>E213*1.454*0.2</f>
        <v>61.87002640000001</v>
      </c>
      <c r="U213" s="9">
        <f>E213*1.454*0.2</f>
        <v>61.87002640000001</v>
      </c>
      <c r="V213" s="9">
        <f>E213*1.454*0.2</f>
        <v>61.87002640000001</v>
      </c>
      <c r="W213" s="9">
        <f>H213*1.454</f>
        <v>0</v>
      </c>
      <c r="X213" s="9">
        <f>K213*1.454</f>
        <v>0</v>
      </c>
      <c r="Y213" s="4">
        <f t="shared" si="26"/>
        <v>123.74005280000002</v>
      </c>
    </row>
    <row r="214" spans="1:25" ht="12.75" customHeight="1" outlineLevel="2">
      <c r="A214" s="160">
        <v>1</v>
      </c>
      <c r="B214" s="162" t="s">
        <v>169</v>
      </c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4">
        <f t="shared" si="26"/>
        <v>0</v>
      </c>
    </row>
    <row r="215" spans="1:25" ht="18" outlineLevel="2">
      <c r="A215" s="160"/>
      <c r="B215" s="15">
        <f>D215+G215+J215</f>
        <v>480</v>
      </c>
      <c r="C215" s="15">
        <f>E215+H215+K215</f>
        <v>965.6</v>
      </c>
      <c r="D215" s="15">
        <v>480</v>
      </c>
      <c r="E215" s="8">
        <f>Z15*2*AA15+80*FORECAST(80,AA$13:AA$14,Z$13:Z$14)</f>
        <v>965.6</v>
      </c>
      <c r="F215" s="15" t="s">
        <v>433</v>
      </c>
      <c r="G215" s="15"/>
      <c r="H215" s="15"/>
      <c r="I215" s="15"/>
      <c r="J215" s="15"/>
      <c r="K215" s="15"/>
      <c r="L215" s="15"/>
      <c r="M215" s="15">
        <v>180</v>
      </c>
      <c r="N215" s="15">
        <v>1800</v>
      </c>
      <c r="O215" s="8">
        <f>C215/0.92</f>
        <v>1049.5652173913043</v>
      </c>
      <c r="P215" s="15">
        <v>1</v>
      </c>
      <c r="Q215" s="15">
        <v>630</v>
      </c>
      <c r="R215" s="8">
        <f>1.454*C215</f>
        <v>1403.9824</v>
      </c>
      <c r="S215" s="9">
        <f>E215*1.454*0.4</f>
        <v>561.5929600000001</v>
      </c>
      <c r="T215" s="9">
        <f>E215*1.454*0.2</f>
        <v>280.79648000000003</v>
      </c>
      <c r="U215" s="9">
        <f>E215*1.454*0.2</f>
        <v>280.79648000000003</v>
      </c>
      <c r="V215" s="9">
        <f>E215*1.454*0.2</f>
        <v>280.79648000000003</v>
      </c>
      <c r="W215" s="9">
        <f>H215*1.454</f>
        <v>0</v>
      </c>
      <c r="X215" s="9">
        <f>K215*1.454</f>
        <v>0</v>
      </c>
      <c r="Y215" s="4">
        <f t="shared" si="26"/>
        <v>561.5929600000001</v>
      </c>
    </row>
    <row r="216" spans="1:25" ht="36" hidden="1" outlineLevel="1">
      <c r="A216" s="6" t="s">
        <v>434</v>
      </c>
      <c r="B216" s="6">
        <f>B160+B155+B150+B145+B136+B125+B183+B181+B179+B174+B172+B170+B168+B166+B164+B162+B193+B188+B195+B197+B199+B201+B203+B205+B207+B209+B211+B213+B215</f>
        <v>8853</v>
      </c>
      <c r="C216" s="19">
        <f>C160+C155+C150+C145+C136+C125+C183+C181+C179+C174+C172+C170+C168+C166+C164+C162+C193+C188+C195+C197+C199+C201+C203+C205+C207+C209+C211+C213+C215</f>
        <v>18478.831499999997</v>
      </c>
      <c r="D216" s="6">
        <f>D160+D155+D150+D145+D136+D125+D183+D181+D179+D174+D172+D170+D168+D166+D164+D162+D193+D188+D195+D197+D199+D201+D203+D205+D207+D209+D211+D213+D215</f>
        <v>8847</v>
      </c>
      <c r="E216" s="19">
        <f>E160+E155+E150+E145+E136+E125+E183+E181+E179+E174+E172+E170+E168+E166+E164+E162+E193+E188+E195+E197+E199+E201+E203+E205+E207+E209+E211+E213+E215</f>
        <v>18428.831499999997</v>
      </c>
      <c r="F216" s="6" t="s">
        <v>433</v>
      </c>
      <c r="G216" s="24">
        <f>G160+G155+G150+G145+G136+G125+G183+G181+G179+G174+G172+G170+G168+G166+G164+G162+G193+G188+G195+G197+G199+G201+G203+G205+G207+G209+G211+G213+G215</f>
        <v>0</v>
      </c>
      <c r="H216" s="24">
        <f>H160+H155+H150+H145+H136+H125+H183+H181+H179+H174+H172+H170+H168+H166+H164+H162+H193+H188+H195+H197+H199+H201+H203+H205+H207+H209+H211+H213+H215</f>
        <v>0</v>
      </c>
      <c r="I216" s="6" t="s">
        <v>441</v>
      </c>
      <c r="J216" s="24">
        <f>J160+J155+J150+J145+J136+J125+J183+J181+J179+J174+J172+J170+J168+J166+J164+J162+J193+J188+J195+J197+J199+J201+J203+J205+J207+J209+J211+J213+J215</f>
        <v>6</v>
      </c>
      <c r="K216" s="24">
        <f>K160+K155+K150+K145+K136+K125+K183+K181+K179+K174+K172+K170+K168+K166+K164+K162+K193+K188+K195+K197+K199+K201+K203+K205+K207+K209+K211+K213+K215</f>
        <v>50</v>
      </c>
      <c r="L216" s="6" t="s">
        <v>433</v>
      </c>
      <c r="M216" s="24">
        <f aca="true" t="shared" si="30" ref="M216:X216">M160+M155+M150+M145+M136+M125+M183+M181+M179+M174+M172+M170+M168+M166+M164+M162+M193+M188+M195+M197+M199+M201+M203+M205+M207+M209+M211+M213+M215</f>
        <v>10820</v>
      </c>
      <c r="N216" s="24">
        <f t="shared" si="30"/>
        <v>48411</v>
      </c>
      <c r="O216" s="19">
        <f t="shared" si="30"/>
        <v>20085.686413043473</v>
      </c>
      <c r="P216" s="24">
        <f t="shared" si="30"/>
        <v>54</v>
      </c>
      <c r="Q216" s="24">
        <f t="shared" si="30"/>
        <v>15180</v>
      </c>
      <c r="R216" s="19">
        <f t="shared" si="30"/>
        <v>26868.221000999998</v>
      </c>
      <c r="S216" s="19">
        <f t="shared" si="30"/>
        <v>10718.208400399997</v>
      </c>
      <c r="T216" s="19">
        <f t="shared" si="30"/>
        <v>5359.104200199999</v>
      </c>
      <c r="U216" s="19">
        <f t="shared" si="30"/>
        <v>5359.104200199999</v>
      </c>
      <c r="V216" s="19">
        <f t="shared" si="30"/>
        <v>5359.104200199999</v>
      </c>
      <c r="W216" s="19">
        <f t="shared" si="30"/>
        <v>0</v>
      </c>
      <c r="X216" s="19">
        <f t="shared" si="30"/>
        <v>72.7</v>
      </c>
      <c r="Y216" s="4">
        <f t="shared" si="26"/>
        <v>10718.208400399997</v>
      </c>
    </row>
    <row r="217" spans="1:25" ht="12.75" customHeight="1" outlineLevel="2">
      <c r="A217" s="160">
        <v>1</v>
      </c>
      <c r="B217" s="162" t="s">
        <v>531</v>
      </c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4">
        <f t="shared" si="26"/>
        <v>0</v>
      </c>
    </row>
    <row r="218" spans="1:25" ht="18" outlineLevel="2">
      <c r="A218" s="160"/>
      <c r="B218" s="15">
        <f>D218+G218+J218</f>
        <v>30</v>
      </c>
      <c r="C218" s="16">
        <f>E218+H218+K218</f>
        <v>92.73749999999998</v>
      </c>
      <c r="D218" s="15">
        <v>30</v>
      </c>
      <c r="E218" s="8">
        <f>D218*FORECAST(D218,AA$11:AA$12,Z$11:Z$12)</f>
        <v>92.73749999999998</v>
      </c>
      <c r="F218" s="15" t="s">
        <v>433</v>
      </c>
      <c r="G218" s="15"/>
      <c r="H218" s="15"/>
      <c r="I218" s="15"/>
      <c r="J218" s="15"/>
      <c r="K218" s="15"/>
      <c r="L218" s="15"/>
      <c r="M218" s="15">
        <v>20</v>
      </c>
      <c r="N218" s="15">
        <v>700</v>
      </c>
      <c r="O218" s="8">
        <f>C218/0.92</f>
        <v>100.80163043478258</v>
      </c>
      <c r="P218" s="15">
        <v>1</v>
      </c>
      <c r="Q218" s="15">
        <v>160</v>
      </c>
      <c r="R218" s="8">
        <f>1.454*C218</f>
        <v>134.84032499999998</v>
      </c>
      <c r="S218" s="9">
        <f>E218*1.454*0.4</f>
        <v>53.93612999999999</v>
      </c>
      <c r="T218" s="9">
        <f>E218*1.454*0.2</f>
        <v>26.968064999999996</v>
      </c>
      <c r="U218" s="9">
        <f>E218*1.454*0.2</f>
        <v>26.968064999999996</v>
      </c>
      <c r="V218" s="9">
        <f>E218*1.454*0.2</f>
        <v>26.968064999999996</v>
      </c>
      <c r="W218" s="9">
        <f>H218*1.454</f>
        <v>0</v>
      </c>
      <c r="X218" s="9">
        <f>K218*1.454</f>
        <v>0</v>
      </c>
      <c r="Y218" s="4">
        <f t="shared" si="26"/>
        <v>53.93612999999999</v>
      </c>
    </row>
    <row r="219" spans="1:25" ht="12.75" customHeight="1" outlineLevel="2">
      <c r="A219" s="160">
        <v>2</v>
      </c>
      <c r="B219" s="162" t="s">
        <v>485</v>
      </c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4">
        <f t="shared" si="26"/>
        <v>0</v>
      </c>
    </row>
    <row r="220" spans="1:25" ht="18" outlineLevel="2">
      <c r="A220" s="160"/>
      <c r="B220" s="15">
        <f>D220+G220+J220</f>
        <v>150</v>
      </c>
      <c r="C220" s="15">
        <f>E220+H220+K220</f>
        <v>309</v>
      </c>
      <c r="D220" s="15">
        <v>150</v>
      </c>
      <c r="E220" s="8">
        <f>D220*FORECAST(D220,AA$14:AA$15,Z$14:Z$15)</f>
        <v>309</v>
      </c>
      <c r="F220" s="15" t="s">
        <v>433</v>
      </c>
      <c r="G220" s="15"/>
      <c r="H220" s="15"/>
      <c r="I220" s="15"/>
      <c r="J220" s="15"/>
      <c r="K220" s="15"/>
      <c r="L220" s="15"/>
      <c r="M220" s="15">
        <v>400</v>
      </c>
      <c r="N220" s="15">
        <v>3500</v>
      </c>
      <c r="O220" s="8">
        <f>C220/0.92</f>
        <v>335.8695652173913</v>
      </c>
      <c r="P220" s="15">
        <v>2</v>
      </c>
      <c r="Q220" s="15">
        <v>500</v>
      </c>
      <c r="R220" s="8">
        <f>1.454*C220</f>
        <v>449.286</v>
      </c>
      <c r="S220" s="9">
        <f>E220*1.454*0.4</f>
        <v>179.7144</v>
      </c>
      <c r="T220" s="9">
        <f>E220*1.454*0.2</f>
        <v>89.8572</v>
      </c>
      <c r="U220" s="9">
        <f>E220*1.454*0.2</f>
        <v>89.8572</v>
      </c>
      <c r="V220" s="9">
        <f>E220*1.454*0.2</f>
        <v>89.8572</v>
      </c>
      <c r="W220" s="9">
        <f>H220*1.454</f>
        <v>0</v>
      </c>
      <c r="X220" s="9">
        <f>K220*1.454</f>
        <v>0</v>
      </c>
      <c r="Y220" s="4">
        <f t="shared" si="26"/>
        <v>179.7144</v>
      </c>
    </row>
    <row r="221" spans="1:25" ht="36" outlineLevel="2">
      <c r="A221" s="6" t="s">
        <v>431</v>
      </c>
      <c r="B221" s="6">
        <f>B218+B220</f>
        <v>180</v>
      </c>
      <c r="C221" s="19">
        <f>C218+C220</f>
        <v>401.73749999999995</v>
      </c>
      <c r="D221" s="6">
        <f>D218+D220</f>
        <v>180</v>
      </c>
      <c r="E221" s="19">
        <f>E218+E220</f>
        <v>401.73749999999995</v>
      </c>
      <c r="F221" s="6" t="s">
        <v>433</v>
      </c>
      <c r="G221" s="6">
        <f>G218+G220</f>
        <v>0</v>
      </c>
      <c r="H221" s="6">
        <f>H218+H220</f>
        <v>0</v>
      </c>
      <c r="I221" s="6" t="s">
        <v>441</v>
      </c>
      <c r="J221" s="6">
        <f>J218+J220</f>
        <v>0</v>
      </c>
      <c r="K221" s="6">
        <f>K218+K220</f>
        <v>0</v>
      </c>
      <c r="L221" s="6" t="s">
        <v>441</v>
      </c>
      <c r="M221" s="6">
        <f aca="true" t="shared" si="31" ref="M221:X221">M218+M220</f>
        <v>420</v>
      </c>
      <c r="N221" s="6">
        <f t="shared" si="31"/>
        <v>4200</v>
      </c>
      <c r="O221" s="19">
        <f t="shared" si="31"/>
        <v>436.6711956521739</v>
      </c>
      <c r="P221" s="6">
        <f t="shared" si="31"/>
        <v>3</v>
      </c>
      <c r="Q221" s="6">
        <f t="shared" si="31"/>
        <v>660</v>
      </c>
      <c r="R221" s="19">
        <f t="shared" si="31"/>
        <v>584.126325</v>
      </c>
      <c r="S221" s="19">
        <f t="shared" si="31"/>
        <v>233.65053</v>
      </c>
      <c r="T221" s="19">
        <f t="shared" si="31"/>
        <v>116.825265</v>
      </c>
      <c r="U221" s="19">
        <f t="shared" si="31"/>
        <v>116.825265</v>
      </c>
      <c r="V221" s="19">
        <f t="shared" si="31"/>
        <v>116.825265</v>
      </c>
      <c r="W221" s="19">
        <f t="shared" si="31"/>
        <v>0</v>
      </c>
      <c r="X221" s="19">
        <f t="shared" si="31"/>
        <v>0</v>
      </c>
      <c r="Y221" s="4">
        <f t="shared" si="26"/>
        <v>233.65053</v>
      </c>
    </row>
    <row r="222" spans="1:25" ht="12.75" customHeight="1" outlineLevel="2">
      <c r="A222" s="160">
        <v>1</v>
      </c>
      <c r="B222" s="162" t="s">
        <v>91</v>
      </c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4">
        <f t="shared" si="26"/>
        <v>0</v>
      </c>
    </row>
    <row r="223" spans="1:25" ht="18" outlineLevel="2">
      <c r="A223" s="160"/>
      <c r="B223" s="15">
        <f>D223+G223+J223</f>
        <v>58</v>
      </c>
      <c r="C223" s="16">
        <f>E223+H223+K223</f>
        <v>139.664</v>
      </c>
      <c r="D223" s="15">
        <v>58</v>
      </c>
      <c r="E223" s="8">
        <f>D223*FORECAST(D223,AA$12:AA$13,Z$12:Z$13)</f>
        <v>139.664</v>
      </c>
      <c r="F223" s="15" t="s">
        <v>433</v>
      </c>
      <c r="G223" s="15"/>
      <c r="H223" s="15"/>
      <c r="I223" s="15"/>
      <c r="J223" s="15"/>
      <c r="K223" s="15"/>
      <c r="L223" s="15"/>
      <c r="M223" s="15">
        <v>150</v>
      </c>
      <c r="N223" s="15">
        <v>220</v>
      </c>
      <c r="O223" s="8">
        <f>C223/0.92</f>
        <v>151.8086956521739</v>
      </c>
      <c r="P223" s="15">
        <v>1</v>
      </c>
      <c r="Q223" s="15">
        <v>63</v>
      </c>
      <c r="R223" s="8">
        <f>1.454*C223</f>
        <v>203.07145599999998</v>
      </c>
      <c r="S223" s="9">
        <f>E223*1.454*0.4</f>
        <v>81.2285824</v>
      </c>
      <c r="T223" s="9">
        <f>E223*1.454*0.2</f>
        <v>40.6142912</v>
      </c>
      <c r="U223" s="9">
        <f>E223*1.454*0.2</f>
        <v>40.6142912</v>
      </c>
      <c r="V223" s="9">
        <f>E223*1.454*0.2</f>
        <v>40.6142912</v>
      </c>
      <c r="W223" s="9">
        <f>H223*1.454</f>
        <v>0</v>
      </c>
      <c r="X223" s="9">
        <f>K223*1.454</f>
        <v>0</v>
      </c>
      <c r="Y223" s="4">
        <f t="shared" si="26"/>
        <v>81.2285824</v>
      </c>
    </row>
    <row r="224" spans="1:25" ht="12.75" customHeight="1" outlineLevel="2">
      <c r="A224" s="160">
        <v>1</v>
      </c>
      <c r="B224" s="162" t="s">
        <v>170</v>
      </c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4">
        <f t="shared" si="26"/>
        <v>0</v>
      </c>
    </row>
    <row r="225" spans="1:25" ht="18" outlineLevel="2">
      <c r="A225" s="160"/>
      <c r="B225" s="15">
        <f>D225+G225+J225</f>
        <v>960</v>
      </c>
      <c r="C225" s="15">
        <f>E225+H225+K225</f>
        <v>1926.8</v>
      </c>
      <c r="D225" s="15">
        <v>960</v>
      </c>
      <c r="E225" s="8">
        <f>Z15*4*AA15+Z14*AA14+Z13*AA13</f>
        <v>1926.8</v>
      </c>
      <c r="F225" s="15" t="s">
        <v>433</v>
      </c>
      <c r="G225" s="15"/>
      <c r="H225" s="15"/>
      <c r="I225" s="15"/>
      <c r="J225" s="15"/>
      <c r="K225" s="15"/>
      <c r="L225" s="15"/>
      <c r="M225" s="15">
        <v>450</v>
      </c>
      <c r="N225" s="15">
        <v>3600</v>
      </c>
      <c r="O225" s="8">
        <f>C225/0.92</f>
        <v>2094.3478260869565</v>
      </c>
      <c r="P225" s="15">
        <v>2</v>
      </c>
      <c r="Q225" s="15">
        <v>1260</v>
      </c>
      <c r="R225" s="8">
        <f>1.454*C225</f>
        <v>2801.5672</v>
      </c>
      <c r="S225" s="9">
        <f>E225*1.454*0.4</f>
        <v>1120.62688</v>
      </c>
      <c r="T225" s="9">
        <f>E225*1.454*0.2</f>
        <v>560.31344</v>
      </c>
      <c r="U225" s="9">
        <f>E225*1.454*0.2</f>
        <v>560.31344</v>
      </c>
      <c r="V225" s="9">
        <f>E225*1.454*0.2</f>
        <v>560.31344</v>
      </c>
      <c r="W225" s="9">
        <f>H225*1.454</f>
        <v>0</v>
      </c>
      <c r="X225" s="9">
        <f>K225*1.454</f>
        <v>0</v>
      </c>
      <c r="Y225" s="4">
        <f t="shared" si="26"/>
        <v>1120.62688</v>
      </c>
    </row>
    <row r="226" spans="1:25" ht="12.75" customHeight="1" outlineLevel="2">
      <c r="A226" s="160">
        <v>1</v>
      </c>
      <c r="B226" s="162" t="s">
        <v>171</v>
      </c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4">
        <f t="shared" si="26"/>
        <v>0</v>
      </c>
    </row>
    <row r="227" spans="1:25" ht="18" outlineLevel="2">
      <c r="A227" s="160"/>
      <c r="B227" s="15">
        <f>D227+G227+J227</f>
        <v>160</v>
      </c>
      <c r="C227" s="15">
        <f>E227+H227+K227</f>
        <v>326.4</v>
      </c>
      <c r="D227" s="15">
        <v>160</v>
      </c>
      <c r="E227" s="8">
        <f>D227*FORECAST(D227,AA$14:AA$15,Z$14:Z$15)</f>
        <v>326.4</v>
      </c>
      <c r="F227" s="15" t="s">
        <v>433</v>
      </c>
      <c r="G227" s="15"/>
      <c r="H227" s="15"/>
      <c r="I227" s="15"/>
      <c r="J227" s="15"/>
      <c r="K227" s="15"/>
      <c r="L227" s="15"/>
      <c r="M227" s="15">
        <v>200</v>
      </c>
      <c r="N227" s="15">
        <v>600</v>
      </c>
      <c r="O227" s="8">
        <f>C227/0.92</f>
        <v>354.78260869565213</v>
      </c>
      <c r="P227" s="15">
        <v>1</v>
      </c>
      <c r="Q227" s="15">
        <v>250</v>
      </c>
      <c r="R227" s="8">
        <f>1.454*C227</f>
        <v>474.58559999999994</v>
      </c>
      <c r="S227" s="9">
        <f>E227*1.454*0.4</f>
        <v>189.83424</v>
      </c>
      <c r="T227" s="9">
        <f>E227*1.454*0.2</f>
        <v>94.91712</v>
      </c>
      <c r="U227" s="9">
        <f>E227*1.454*0.2</f>
        <v>94.91712</v>
      </c>
      <c r="V227" s="9">
        <f>E227*1.454*0.2</f>
        <v>94.91712</v>
      </c>
      <c r="W227" s="9">
        <f>H227*1.454</f>
        <v>0</v>
      </c>
      <c r="X227" s="9">
        <f>K227*1.454</f>
        <v>0</v>
      </c>
      <c r="Y227" s="4">
        <f t="shared" si="26"/>
        <v>189.83424</v>
      </c>
    </row>
    <row r="228" spans="1:25" ht="12.75" customHeight="1" outlineLevel="2">
      <c r="A228" s="160">
        <v>1</v>
      </c>
      <c r="B228" s="162" t="s">
        <v>172</v>
      </c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4">
        <f t="shared" si="26"/>
        <v>0</v>
      </c>
    </row>
    <row r="229" spans="1:25" ht="18" outlineLevel="2">
      <c r="A229" s="160"/>
      <c r="B229" s="15">
        <f>D229+G229+J229</f>
        <v>160</v>
      </c>
      <c r="C229" s="15">
        <f>E229+H229+K229</f>
        <v>326.4</v>
      </c>
      <c r="D229" s="15">
        <v>160</v>
      </c>
      <c r="E229" s="8">
        <f>D229*FORECAST(D229,AA$14:AA$15,Z$14:Z$15)</f>
        <v>326.4</v>
      </c>
      <c r="F229" s="15" t="s">
        <v>433</v>
      </c>
      <c r="G229" s="15"/>
      <c r="H229" s="15"/>
      <c r="I229" s="15"/>
      <c r="J229" s="15"/>
      <c r="K229" s="15"/>
      <c r="L229" s="15"/>
      <c r="M229" s="15">
        <v>150</v>
      </c>
      <c r="N229" s="15">
        <v>600</v>
      </c>
      <c r="O229" s="8">
        <f>C229/0.92</f>
        <v>354.78260869565213</v>
      </c>
      <c r="P229" s="15">
        <v>1</v>
      </c>
      <c r="Q229" s="15">
        <v>250</v>
      </c>
      <c r="R229" s="8">
        <f>1.454*C229</f>
        <v>474.58559999999994</v>
      </c>
      <c r="S229" s="9">
        <f>E229*1.454*0.4</f>
        <v>189.83424</v>
      </c>
      <c r="T229" s="9">
        <f>E229*1.454*0.2</f>
        <v>94.91712</v>
      </c>
      <c r="U229" s="9">
        <f>E229*1.454*0.2</f>
        <v>94.91712</v>
      </c>
      <c r="V229" s="9">
        <f>E229*1.454*0.2</f>
        <v>94.91712</v>
      </c>
      <c r="W229" s="9">
        <f>H229*1.454</f>
        <v>0</v>
      </c>
      <c r="X229" s="9">
        <f>K229*1.454</f>
        <v>0</v>
      </c>
      <c r="Y229" s="4">
        <f t="shared" si="26"/>
        <v>189.83424</v>
      </c>
    </row>
    <row r="230" spans="1:25" ht="12.75" customHeight="1" outlineLevel="2">
      <c r="A230" s="160">
        <v>1</v>
      </c>
      <c r="B230" s="162" t="s">
        <v>173</v>
      </c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4">
        <f t="shared" si="26"/>
        <v>0</v>
      </c>
    </row>
    <row r="231" spans="1:25" ht="18" outlineLevel="2">
      <c r="A231" s="160"/>
      <c r="B231" s="15">
        <f>D231+G231+J231</f>
        <v>960</v>
      </c>
      <c r="C231" s="15">
        <f>E231+H231+K231</f>
        <v>1926.8</v>
      </c>
      <c r="D231" s="15">
        <v>960</v>
      </c>
      <c r="E231" s="8">
        <f>Z15*4*AA15+Z14*AA14+Z13*AA13</f>
        <v>1926.8</v>
      </c>
      <c r="F231" s="15" t="s">
        <v>433</v>
      </c>
      <c r="G231" s="15"/>
      <c r="H231" s="15"/>
      <c r="I231" s="15"/>
      <c r="J231" s="15"/>
      <c r="K231" s="15"/>
      <c r="L231" s="15"/>
      <c r="M231" s="15">
        <v>350</v>
      </c>
      <c r="N231" s="15">
        <v>3600</v>
      </c>
      <c r="O231" s="8">
        <f>C231/0.92</f>
        <v>2094.3478260869565</v>
      </c>
      <c r="P231" s="15">
        <v>2</v>
      </c>
      <c r="Q231" s="15">
        <v>1260</v>
      </c>
      <c r="R231" s="8">
        <f>1.454*C231</f>
        <v>2801.5672</v>
      </c>
      <c r="S231" s="9">
        <f>E231*1.454*0.4</f>
        <v>1120.62688</v>
      </c>
      <c r="T231" s="9">
        <f>E231*1.454*0.2</f>
        <v>560.31344</v>
      </c>
      <c r="U231" s="9">
        <f>E231*1.454*0.2</f>
        <v>560.31344</v>
      </c>
      <c r="V231" s="9">
        <f>E231*1.454*0.2</f>
        <v>560.31344</v>
      </c>
      <c r="W231" s="9">
        <f>H231*1.454</f>
        <v>0</v>
      </c>
      <c r="X231" s="9">
        <f>K231*1.454</f>
        <v>0</v>
      </c>
      <c r="Y231" s="4">
        <f t="shared" si="26"/>
        <v>1120.62688</v>
      </c>
    </row>
    <row r="232" spans="1:25" ht="12.75" customHeight="1" outlineLevel="2">
      <c r="A232" s="160">
        <v>1</v>
      </c>
      <c r="B232" s="162" t="s">
        <v>174</v>
      </c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4">
        <f t="shared" si="26"/>
        <v>0</v>
      </c>
    </row>
    <row r="233" spans="1:25" ht="18" outlineLevel="2">
      <c r="A233" s="160"/>
      <c r="B233" s="15">
        <f>D233+G233+J233</f>
        <v>160</v>
      </c>
      <c r="C233" s="15">
        <f>E233+H233+K233</f>
        <v>326.4</v>
      </c>
      <c r="D233" s="15">
        <v>160</v>
      </c>
      <c r="E233" s="8">
        <f>D233*FORECAST(D233,AA$14:AA$15,Z$14:Z$15)</f>
        <v>326.4</v>
      </c>
      <c r="F233" s="15" t="s">
        <v>433</v>
      </c>
      <c r="G233" s="15"/>
      <c r="H233" s="15"/>
      <c r="I233" s="15"/>
      <c r="J233" s="15"/>
      <c r="K233" s="15"/>
      <c r="L233" s="15"/>
      <c r="M233" s="15">
        <v>300</v>
      </c>
      <c r="N233" s="15">
        <v>600</v>
      </c>
      <c r="O233" s="8">
        <f>C233/0.92</f>
        <v>354.78260869565213</v>
      </c>
      <c r="P233" s="15">
        <v>1</v>
      </c>
      <c r="Q233" s="15">
        <v>250</v>
      </c>
      <c r="R233" s="8">
        <f>1.454*C233</f>
        <v>474.58559999999994</v>
      </c>
      <c r="S233" s="9">
        <f>E233*1.454*0.4</f>
        <v>189.83424</v>
      </c>
      <c r="T233" s="9">
        <f>E233*1.454*0.2</f>
        <v>94.91712</v>
      </c>
      <c r="U233" s="9">
        <f>E233*1.454*0.2</f>
        <v>94.91712</v>
      </c>
      <c r="V233" s="9">
        <f>E233*1.454*0.2</f>
        <v>94.91712</v>
      </c>
      <c r="W233" s="9">
        <f>H233*1.454</f>
        <v>0</v>
      </c>
      <c r="X233" s="9">
        <f>K233*1.454</f>
        <v>0</v>
      </c>
      <c r="Y233" s="4">
        <f t="shared" si="26"/>
        <v>189.83424</v>
      </c>
    </row>
    <row r="234" spans="1:25" ht="12.75" customHeight="1" outlineLevel="2">
      <c r="A234" s="160">
        <v>1</v>
      </c>
      <c r="B234" s="162" t="s">
        <v>175</v>
      </c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4">
        <f t="shared" si="26"/>
        <v>0</v>
      </c>
    </row>
    <row r="235" spans="1:25" ht="18" outlineLevel="2">
      <c r="A235" s="160"/>
      <c r="B235" s="15">
        <f>D235+G235+J235</f>
        <v>324</v>
      </c>
      <c r="C235" s="16">
        <f>E235+H235+K235</f>
        <v>653.888</v>
      </c>
      <c r="D235" s="15">
        <v>324</v>
      </c>
      <c r="E235" s="8">
        <f>Z15*AA15+124*FORECAST(124,AA$14:AA$15,Z$14:Z$15)</f>
        <v>653.888</v>
      </c>
      <c r="F235" s="15" t="s">
        <v>433</v>
      </c>
      <c r="G235" s="15"/>
      <c r="H235" s="15"/>
      <c r="I235" s="15"/>
      <c r="J235" s="15"/>
      <c r="K235" s="15"/>
      <c r="L235" s="15"/>
      <c r="M235" s="15">
        <v>400</v>
      </c>
      <c r="N235" s="15">
        <v>1200</v>
      </c>
      <c r="O235" s="8">
        <f>C235/0.92</f>
        <v>710.7478260869565</v>
      </c>
      <c r="P235" s="15">
        <v>1</v>
      </c>
      <c r="Q235" s="15">
        <v>400</v>
      </c>
      <c r="R235" s="8">
        <f>1.454*C235</f>
        <v>950.753152</v>
      </c>
      <c r="S235" s="9">
        <f>E235*1.454*0.4</f>
        <v>380.3012608</v>
      </c>
      <c r="T235" s="9">
        <f>E235*1.454*0.2</f>
        <v>190.1506304</v>
      </c>
      <c r="U235" s="9">
        <f>E235*1.454*0.2</f>
        <v>190.1506304</v>
      </c>
      <c r="V235" s="9">
        <f>E235*1.454*0.2</f>
        <v>190.1506304</v>
      </c>
      <c r="W235" s="9">
        <f>H235*1.454</f>
        <v>0</v>
      </c>
      <c r="X235" s="9">
        <f>K235*1.454</f>
        <v>0</v>
      </c>
      <c r="Y235" s="4">
        <f t="shared" si="26"/>
        <v>380.3012608</v>
      </c>
    </row>
    <row r="236" spans="1:25" ht="12.75" customHeight="1" outlineLevel="2">
      <c r="A236" s="160">
        <v>1</v>
      </c>
      <c r="B236" s="162" t="s">
        <v>176</v>
      </c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4">
        <f t="shared" si="26"/>
        <v>0</v>
      </c>
    </row>
    <row r="237" spans="1:25" ht="18" outlineLevel="2">
      <c r="A237" s="160"/>
      <c r="B237" s="15">
        <f>D237+G237+J237</f>
        <v>640</v>
      </c>
      <c r="C237" s="15">
        <f>E237+H237+K237</f>
        <v>1282.4</v>
      </c>
      <c r="D237" s="15">
        <v>640</v>
      </c>
      <c r="E237" s="8">
        <f>Z15*AA15*3+Z12*AA12</f>
        <v>1282.4</v>
      </c>
      <c r="F237" s="15" t="s">
        <v>433</v>
      </c>
      <c r="G237" s="15"/>
      <c r="H237" s="15"/>
      <c r="I237" s="15"/>
      <c r="J237" s="15"/>
      <c r="K237" s="15"/>
      <c r="L237" s="15"/>
      <c r="M237" s="15">
        <v>420</v>
      </c>
      <c r="N237" s="15">
        <v>2400</v>
      </c>
      <c r="O237" s="8">
        <f>C237/0.92</f>
        <v>1393.913043478261</v>
      </c>
      <c r="P237" s="15">
        <v>2</v>
      </c>
      <c r="Q237" s="15">
        <v>1600</v>
      </c>
      <c r="R237" s="8">
        <f>1.454*C237</f>
        <v>1864.6096</v>
      </c>
      <c r="S237" s="9">
        <f>E237*1.454*0.4</f>
        <v>745.84384</v>
      </c>
      <c r="T237" s="9">
        <f>E237*1.454*0.2</f>
        <v>372.92192</v>
      </c>
      <c r="U237" s="9">
        <f>E237*1.454*0.2</f>
        <v>372.92192</v>
      </c>
      <c r="V237" s="9">
        <f>E237*1.454*0.2</f>
        <v>372.92192</v>
      </c>
      <c r="W237" s="9">
        <f>H237*1.454</f>
        <v>0</v>
      </c>
      <c r="X237" s="9">
        <f>K237*1.454</f>
        <v>0</v>
      </c>
      <c r="Y237" s="4">
        <f t="shared" si="26"/>
        <v>745.84384</v>
      </c>
    </row>
    <row r="238" spans="1:25" ht="12.75" customHeight="1" outlineLevel="2">
      <c r="A238" s="160">
        <v>1</v>
      </c>
      <c r="B238" s="162" t="s">
        <v>177</v>
      </c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4">
        <f aca="true" t="shared" si="32" ref="Y238:Y278">U238*2</f>
        <v>0</v>
      </c>
    </row>
    <row r="239" spans="1:25" ht="18" outlineLevel="2">
      <c r="A239" s="160"/>
      <c r="B239" s="15">
        <f>D239+G239+J239</f>
        <v>256</v>
      </c>
      <c r="C239" s="16">
        <f>E239+H239+K239</f>
        <v>528.4159999999999</v>
      </c>
      <c r="D239" s="15">
        <v>256</v>
      </c>
      <c r="E239" s="8">
        <f>Z15*AA15+56*FORECAST(56,AA$12:AA$13,Z$12:Z$13)</f>
        <v>528.4159999999999</v>
      </c>
      <c r="F239" s="15" t="s">
        <v>433</v>
      </c>
      <c r="G239" s="15"/>
      <c r="H239" s="15"/>
      <c r="I239" s="15"/>
      <c r="J239" s="15"/>
      <c r="K239" s="15"/>
      <c r="L239" s="15"/>
      <c r="M239" s="15">
        <v>380</v>
      </c>
      <c r="N239" s="15">
        <v>960</v>
      </c>
      <c r="O239" s="8">
        <f>C239/0.92</f>
        <v>574.3652173913042</v>
      </c>
      <c r="P239" s="15">
        <v>2</v>
      </c>
      <c r="Q239" s="15">
        <v>640</v>
      </c>
      <c r="R239" s="8">
        <f>1.454*C239</f>
        <v>768.3168639999999</v>
      </c>
      <c r="S239" s="9">
        <f>E239*1.454*0.4</f>
        <v>307.3267456</v>
      </c>
      <c r="T239" s="9">
        <f>E239*1.454*0.2</f>
        <v>153.6633728</v>
      </c>
      <c r="U239" s="9">
        <f>E239*1.454*0.2</f>
        <v>153.6633728</v>
      </c>
      <c r="V239" s="9">
        <f>E239*1.454*0.2</f>
        <v>153.6633728</v>
      </c>
      <c r="W239" s="9">
        <f>H239*1.454</f>
        <v>0</v>
      </c>
      <c r="X239" s="9">
        <f>K239*1.454</f>
        <v>0</v>
      </c>
      <c r="Y239" s="4">
        <f t="shared" si="32"/>
        <v>307.3267456</v>
      </c>
    </row>
    <row r="240" spans="1:25" ht="12.75" customHeight="1" outlineLevel="2">
      <c r="A240" s="160">
        <v>1</v>
      </c>
      <c r="B240" s="162" t="s">
        <v>178</v>
      </c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4">
        <f t="shared" si="32"/>
        <v>0</v>
      </c>
    </row>
    <row r="241" spans="1:25" ht="18" outlineLevel="2">
      <c r="A241" s="160"/>
      <c r="B241" s="15">
        <f>D241+G241+J241</f>
        <v>192</v>
      </c>
      <c r="C241" s="16">
        <f>E241+H241+K241</f>
        <v>379.392</v>
      </c>
      <c r="D241" s="15">
        <v>192</v>
      </c>
      <c r="E241" s="8">
        <f>D241*FORECAST(D241,AA$14:AA$15,Z$14:Z$15)</f>
        <v>379.392</v>
      </c>
      <c r="F241" s="15" t="s">
        <v>433</v>
      </c>
      <c r="G241" s="15"/>
      <c r="H241" s="15"/>
      <c r="I241" s="15"/>
      <c r="J241" s="15"/>
      <c r="K241" s="15"/>
      <c r="L241" s="15"/>
      <c r="M241" s="15">
        <v>410</v>
      </c>
      <c r="N241" s="15">
        <v>720</v>
      </c>
      <c r="O241" s="8">
        <f>C241/0.92</f>
        <v>412.38260869565215</v>
      </c>
      <c r="P241" s="15">
        <v>1</v>
      </c>
      <c r="Q241" s="15">
        <v>250</v>
      </c>
      <c r="R241" s="8">
        <f>1.454*C241</f>
        <v>551.6359679999999</v>
      </c>
      <c r="S241" s="9">
        <f>E241*1.454*0.4</f>
        <v>220.65438719999997</v>
      </c>
      <c r="T241" s="9">
        <f>E241*1.454*0.2</f>
        <v>110.32719359999999</v>
      </c>
      <c r="U241" s="9">
        <f>E241*1.454*0.2</f>
        <v>110.32719359999999</v>
      </c>
      <c r="V241" s="9">
        <f>E241*1.454*0.2</f>
        <v>110.32719359999999</v>
      </c>
      <c r="W241" s="9">
        <f>H241*1.454</f>
        <v>0</v>
      </c>
      <c r="X241" s="9">
        <f>K241*1.454</f>
        <v>0</v>
      </c>
      <c r="Y241" s="4">
        <f t="shared" si="32"/>
        <v>220.65438719999997</v>
      </c>
    </row>
    <row r="242" spans="1:25" ht="12.75" customHeight="1" outlineLevel="2">
      <c r="A242" s="160">
        <v>1</v>
      </c>
      <c r="B242" s="162" t="s">
        <v>179</v>
      </c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4">
        <f t="shared" si="32"/>
        <v>0</v>
      </c>
    </row>
    <row r="243" spans="1:25" ht="18" outlineLevel="2">
      <c r="A243" s="160"/>
      <c r="B243" s="15">
        <f>D243+G243+J243</f>
        <v>324</v>
      </c>
      <c r="C243" s="16">
        <f>E243+H243+K243</f>
        <v>688.4</v>
      </c>
      <c r="D243" s="15">
        <v>324</v>
      </c>
      <c r="E243" s="8">
        <f>Z15*AA15+Z14*AA14+Z11*AA11</f>
        <v>688.4</v>
      </c>
      <c r="F243" s="15" t="s">
        <v>433</v>
      </c>
      <c r="G243" s="15"/>
      <c r="H243" s="15"/>
      <c r="I243" s="15"/>
      <c r="J243" s="15"/>
      <c r="K243" s="15"/>
      <c r="L243" s="15"/>
      <c r="M243" s="15">
        <v>350</v>
      </c>
      <c r="N243" s="15">
        <v>1200</v>
      </c>
      <c r="O243" s="8">
        <f>C243/0.92</f>
        <v>748.2608695652174</v>
      </c>
      <c r="P243" s="15">
        <v>1</v>
      </c>
      <c r="Q243" s="15">
        <v>400</v>
      </c>
      <c r="R243" s="8">
        <f>1.454*C243</f>
        <v>1000.9336</v>
      </c>
      <c r="S243" s="9">
        <f>E243*1.454*0.4</f>
        <v>400.37344</v>
      </c>
      <c r="T243" s="9">
        <f>E243*1.454*0.2</f>
        <v>200.18672</v>
      </c>
      <c r="U243" s="9">
        <f>E243*1.454*0.2</f>
        <v>200.18672</v>
      </c>
      <c r="V243" s="9">
        <f>E243*1.454*0.2</f>
        <v>200.18672</v>
      </c>
      <c r="W243" s="9">
        <f>H243*1.454</f>
        <v>0</v>
      </c>
      <c r="X243" s="9">
        <f>K243*1.454</f>
        <v>0</v>
      </c>
      <c r="Y243" s="4">
        <f t="shared" si="32"/>
        <v>400.37344</v>
      </c>
    </row>
    <row r="244" spans="1:25" ht="12.75" customHeight="1" outlineLevel="2">
      <c r="A244" s="160">
        <v>1</v>
      </c>
      <c r="B244" s="162" t="s">
        <v>180</v>
      </c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4">
        <f t="shared" si="32"/>
        <v>0</v>
      </c>
    </row>
    <row r="245" spans="1:25" ht="18" outlineLevel="2">
      <c r="A245" s="160"/>
      <c r="B245" s="15">
        <f>D245+G245+J245</f>
        <v>432</v>
      </c>
      <c r="C245" s="16">
        <f>E245+H245+K245</f>
        <v>880.16</v>
      </c>
      <c r="D245" s="15">
        <v>432</v>
      </c>
      <c r="E245" s="8">
        <f>Z15*AA15*2+32*FORECAST(32,AA$11:AA$12,Z$11:Z$12)</f>
        <v>880.16</v>
      </c>
      <c r="F245" s="15" t="s">
        <v>433</v>
      </c>
      <c r="G245" s="15"/>
      <c r="H245" s="15"/>
      <c r="I245" s="15"/>
      <c r="J245" s="15"/>
      <c r="K245" s="15"/>
      <c r="L245" s="15"/>
      <c r="M245" s="15">
        <v>150</v>
      </c>
      <c r="N245" s="15">
        <v>1620</v>
      </c>
      <c r="O245" s="8">
        <f>C245/0.92</f>
        <v>956.695652173913</v>
      </c>
      <c r="P245" s="15">
        <v>2</v>
      </c>
      <c r="Q245" s="15">
        <v>700</v>
      </c>
      <c r="R245" s="8">
        <f>1.454*C245</f>
        <v>1279.75264</v>
      </c>
      <c r="S245" s="9">
        <f>E245*1.454*0.4</f>
        <v>511.901056</v>
      </c>
      <c r="T245" s="9">
        <f>E245*1.454*0.2</f>
        <v>255.950528</v>
      </c>
      <c r="U245" s="9">
        <f>E245*1.454*0.2</f>
        <v>255.950528</v>
      </c>
      <c r="V245" s="9">
        <f>E245*1.454*0.2</f>
        <v>255.950528</v>
      </c>
      <c r="W245" s="9">
        <f>H245*1.454</f>
        <v>0</v>
      </c>
      <c r="X245" s="9">
        <f>K245*1.454</f>
        <v>0</v>
      </c>
      <c r="Y245" s="4">
        <f t="shared" si="32"/>
        <v>511.901056</v>
      </c>
    </row>
    <row r="246" spans="1:25" ht="36" hidden="1" outlineLevel="1">
      <c r="A246" s="6" t="s">
        <v>435</v>
      </c>
      <c r="B246" s="6">
        <f>B221+B223+B225+B227+B229+B231+B233+B235+B237+B239+B241+B243+B245</f>
        <v>4806</v>
      </c>
      <c r="C246" s="19">
        <f>C221+C223+C225+C227+C229+C231+C233+C235+C237+C239+C241+C243+C245</f>
        <v>9786.8575</v>
      </c>
      <c r="D246" s="6">
        <f>D221+D223+D225+D227+D229+D231+D233+D235+D237+D239+D241+D243+D245</f>
        <v>4806</v>
      </c>
      <c r="E246" s="19">
        <f>E221+E223+E225+E227+E229+E231+E233+E235+E237+E239+E241+E243+E245</f>
        <v>9786.8575</v>
      </c>
      <c r="F246" s="6" t="s">
        <v>433</v>
      </c>
      <c r="G246" s="6">
        <f>G221+G223+G225+G227+G229+G231+G233+G235+G237+G239+G241+G243+G245</f>
        <v>0</v>
      </c>
      <c r="H246" s="6">
        <f>H221+H223+H225+H227+H229+H231+H233+H235+H237+H239+H241+H243+H245</f>
        <v>0</v>
      </c>
      <c r="I246" s="6" t="s">
        <v>441</v>
      </c>
      <c r="J246" s="6">
        <f>J221+J223+J225+J227+J229+J231+J233+J235+J237+J239+J241+J243+J245</f>
        <v>0</v>
      </c>
      <c r="K246" s="6">
        <f>K221+K223+K225+K227+K229+K231+K233+K235+K237+K239+K241+K243+K245</f>
        <v>0</v>
      </c>
      <c r="L246" s="6" t="s">
        <v>441</v>
      </c>
      <c r="M246" s="6">
        <f aca="true" t="shared" si="33" ref="M246:X246">M221+M223+M225+M227+M229+M231+M233+M235+M237+M239+M241+M243+M245</f>
        <v>4130</v>
      </c>
      <c r="N246" s="6">
        <f t="shared" si="33"/>
        <v>21520</v>
      </c>
      <c r="O246" s="19">
        <f t="shared" si="33"/>
        <v>10637.88858695652</v>
      </c>
      <c r="P246" s="6">
        <f t="shared" si="33"/>
        <v>20</v>
      </c>
      <c r="Q246" s="6">
        <f t="shared" si="33"/>
        <v>7983</v>
      </c>
      <c r="R246" s="19">
        <f t="shared" si="33"/>
        <v>14230.090805000002</v>
      </c>
      <c r="S246" s="19">
        <f t="shared" si="33"/>
        <v>5692.036322000001</v>
      </c>
      <c r="T246" s="19">
        <f t="shared" si="33"/>
        <v>2846.0181610000004</v>
      </c>
      <c r="U246" s="19">
        <f t="shared" si="33"/>
        <v>2846.0181610000004</v>
      </c>
      <c r="V246" s="19">
        <f t="shared" si="33"/>
        <v>2846.0181610000004</v>
      </c>
      <c r="W246" s="19">
        <f t="shared" si="33"/>
        <v>0</v>
      </c>
      <c r="X246" s="19">
        <f t="shared" si="33"/>
        <v>0</v>
      </c>
      <c r="Y246" s="4">
        <f t="shared" si="32"/>
        <v>5692.036322000001</v>
      </c>
    </row>
    <row r="247" spans="1:25" ht="12.75" customHeight="1" outlineLevel="2">
      <c r="A247" s="160">
        <v>1</v>
      </c>
      <c r="B247" s="162" t="s">
        <v>487</v>
      </c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4">
        <f t="shared" si="32"/>
        <v>0</v>
      </c>
    </row>
    <row r="248" spans="1:25" ht="18" outlineLevel="2">
      <c r="A248" s="160"/>
      <c r="B248" s="15">
        <f>D248+G248+J248</f>
        <v>102</v>
      </c>
      <c r="C248" s="16">
        <f>E248+H248+K248</f>
        <v>219.912</v>
      </c>
      <c r="D248" s="15">
        <v>102</v>
      </c>
      <c r="E248" s="8">
        <f>D248*FORECAST(D248,AA$14:AA$15,Z$14:Z$15)</f>
        <v>219.912</v>
      </c>
      <c r="F248" s="15" t="s">
        <v>433</v>
      </c>
      <c r="G248" s="15"/>
      <c r="H248" s="15"/>
      <c r="I248" s="15"/>
      <c r="J248" s="15"/>
      <c r="K248" s="15"/>
      <c r="L248" s="15"/>
      <c r="M248" s="15">
        <v>40</v>
      </c>
      <c r="N248" s="15">
        <v>1800</v>
      </c>
      <c r="O248" s="8">
        <f>C248/0.92</f>
        <v>239.03478260869565</v>
      </c>
      <c r="P248" s="15">
        <v>1</v>
      </c>
      <c r="Q248" s="15">
        <v>400</v>
      </c>
      <c r="R248" s="8">
        <f>1.454*C248</f>
        <v>319.752048</v>
      </c>
      <c r="S248" s="9">
        <f>E248*1.454*0.4</f>
        <v>127.9008192</v>
      </c>
      <c r="T248" s="9">
        <f>E248*1.454*0.2</f>
        <v>63.9504096</v>
      </c>
      <c r="U248" s="9">
        <f>E248*1.454*0.2</f>
        <v>63.9504096</v>
      </c>
      <c r="V248" s="9">
        <f>E248*1.454*0.2</f>
        <v>63.9504096</v>
      </c>
      <c r="W248" s="9">
        <f>H248*1.454</f>
        <v>0</v>
      </c>
      <c r="X248" s="9">
        <f>K248*1.454</f>
        <v>0</v>
      </c>
      <c r="Y248" s="4">
        <f t="shared" si="32"/>
        <v>127.9008192</v>
      </c>
    </row>
    <row r="249" spans="1:25" ht="12.75" customHeight="1" outlineLevel="2">
      <c r="A249" s="160">
        <v>2</v>
      </c>
      <c r="B249" s="162" t="s">
        <v>535</v>
      </c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4">
        <f t="shared" si="32"/>
        <v>0</v>
      </c>
    </row>
    <row r="250" spans="1:25" ht="18" outlineLevel="2">
      <c r="A250" s="160"/>
      <c r="B250" s="15">
        <f>D250+G250+J250</f>
        <v>212</v>
      </c>
      <c r="C250" s="16">
        <f>E250+H250+K250</f>
        <v>451.52</v>
      </c>
      <c r="D250" s="15">
        <v>212</v>
      </c>
      <c r="E250" s="8">
        <f>Z15*AA15+Z8*AA8</f>
        <v>451.52</v>
      </c>
      <c r="F250" s="15" t="s">
        <v>433</v>
      </c>
      <c r="G250" s="15"/>
      <c r="H250" s="15"/>
      <c r="I250" s="15"/>
      <c r="J250" s="15"/>
      <c r="K250" s="15"/>
      <c r="L250" s="15"/>
      <c r="M250" s="15">
        <v>400</v>
      </c>
      <c r="N250" s="15">
        <v>4600</v>
      </c>
      <c r="O250" s="8">
        <f>C250/0.92</f>
        <v>490.78260869565213</v>
      </c>
      <c r="P250" s="15">
        <v>3</v>
      </c>
      <c r="Q250" s="15">
        <v>750</v>
      </c>
      <c r="R250" s="8">
        <f>1.454*C250</f>
        <v>656.5100799999999</v>
      </c>
      <c r="S250" s="9">
        <f>E250*1.454*0.4</f>
        <v>262.60403199999996</v>
      </c>
      <c r="T250" s="9">
        <f>E250*1.454*0.2</f>
        <v>131.30201599999998</v>
      </c>
      <c r="U250" s="9">
        <f>E250*1.454*0.2</f>
        <v>131.30201599999998</v>
      </c>
      <c r="V250" s="9">
        <f>E250*1.454*0.2</f>
        <v>131.30201599999998</v>
      </c>
      <c r="W250" s="9">
        <f>H250*1.454</f>
        <v>0</v>
      </c>
      <c r="X250" s="9">
        <f>K250*1.454</f>
        <v>0</v>
      </c>
      <c r="Y250" s="4">
        <f t="shared" si="32"/>
        <v>262.60403199999996</v>
      </c>
    </row>
    <row r="251" spans="1:25" ht="36" outlineLevel="2">
      <c r="A251" s="6" t="s">
        <v>431</v>
      </c>
      <c r="B251" s="6">
        <f>B248+B250</f>
        <v>314</v>
      </c>
      <c r="C251" s="19">
        <f>C248+C250</f>
        <v>671.432</v>
      </c>
      <c r="D251" s="6">
        <f>D248+D250</f>
        <v>314</v>
      </c>
      <c r="E251" s="19">
        <f>E248+E250</f>
        <v>671.432</v>
      </c>
      <c r="F251" s="6" t="s">
        <v>433</v>
      </c>
      <c r="G251" s="6">
        <f>G248+G250</f>
        <v>0</v>
      </c>
      <c r="H251" s="6">
        <f>H248+H250</f>
        <v>0</v>
      </c>
      <c r="I251" s="6" t="s">
        <v>441</v>
      </c>
      <c r="J251" s="6">
        <f>J248+J250</f>
        <v>0</v>
      </c>
      <c r="K251" s="6">
        <f>K248+K250</f>
        <v>0</v>
      </c>
      <c r="L251" s="6" t="s">
        <v>441</v>
      </c>
      <c r="M251" s="6">
        <f aca="true" t="shared" si="34" ref="M251:X251">M248+M250</f>
        <v>440</v>
      </c>
      <c r="N251" s="6">
        <f t="shared" si="34"/>
        <v>6400</v>
      </c>
      <c r="O251" s="6">
        <f t="shared" si="34"/>
        <v>729.8173913043478</v>
      </c>
      <c r="P251" s="6">
        <f t="shared" si="34"/>
        <v>4</v>
      </c>
      <c r="Q251" s="6">
        <f t="shared" si="34"/>
        <v>1150</v>
      </c>
      <c r="R251" s="19">
        <f t="shared" si="34"/>
        <v>976.2621279999998</v>
      </c>
      <c r="S251" s="19">
        <f t="shared" si="34"/>
        <v>390.50485119999996</v>
      </c>
      <c r="T251" s="19">
        <f t="shared" si="34"/>
        <v>195.25242559999998</v>
      </c>
      <c r="U251" s="19">
        <f t="shared" si="34"/>
        <v>195.25242559999998</v>
      </c>
      <c r="V251" s="19">
        <f t="shared" si="34"/>
        <v>195.25242559999998</v>
      </c>
      <c r="W251" s="19">
        <f t="shared" si="34"/>
        <v>0</v>
      </c>
      <c r="X251" s="19">
        <f t="shared" si="34"/>
        <v>0</v>
      </c>
      <c r="Y251" s="4">
        <f t="shared" si="32"/>
        <v>390.50485119999996</v>
      </c>
    </row>
    <row r="252" spans="1:25" ht="12.75" customHeight="1" outlineLevel="2">
      <c r="A252" s="160">
        <v>1</v>
      </c>
      <c r="B252" s="162" t="s">
        <v>181</v>
      </c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4">
        <f t="shared" si="32"/>
        <v>0</v>
      </c>
    </row>
    <row r="253" spans="1:25" ht="18" outlineLevel="2">
      <c r="A253" s="160"/>
      <c r="B253" s="15">
        <f>D253+G253+J253</f>
        <v>410</v>
      </c>
      <c r="C253" s="16">
        <f>E253+H253+K253</f>
        <v>839.2666666666667</v>
      </c>
      <c r="D253" s="15">
        <v>410</v>
      </c>
      <c r="E253" s="8">
        <f>Z15*2*AA15+10*FORECAST(10,AA$7:AA$8,Z$7:Z$8)</f>
        <v>839.2666666666667</v>
      </c>
      <c r="F253" s="15" t="s">
        <v>433</v>
      </c>
      <c r="G253" s="15"/>
      <c r="H253" s="15"/>
      <c r="I253" s="15"/>
      <c r="J253" s="15"/>
      <c r="K253" s="15"/>
      <c r="L253" s="15"/>
      <c r="M253" s="15">
        <v>150</v>
      </c>
      <c r="N253" s="15">
        <v>1560</v>
      </c>
      <c r="O253" s="8">
        <f>C253/0.92</f>
        <v>912.2463768115941</v>
      </c>
      <c r="P253" s="15">
        <v>2</v>
      </c>
      <c r="Q253" s="15">
        <v>510</v>
      </c>
      <c r="R253" s="8">
        <f>1.454*C253</f>
        <v>1220.2937333333332</v>
      </c>
      <c r="S253" s="9">
        <f>E253*1.454*0.4</f>
        <v>488.1174933333333</v>
      </c>
      <c r="T253" s="9">
        <f>E253*1.454*0.2</f>
        <v>244.05874666666665</v>
      </c>
      <c r="U253" s="9">
        <f>E253*1.454*0.2</f>
        <v>244.05874666666665</v>
      </c>
      <c r="V253" s="9">
        <f>E253*1.454*0.2</f>
        <v>244.05874666666665</v>
      </c>
      <c r="W253" s="9">
        <f>H253*1.454</f>
        <v>0</v>
      </c>
      <c r="X253" s="9">
        <f>K253*1.454</f>
        <v>0</v>
      </c>
      <c r="Y253" s="4">
        <f t="shared" si="32"/>
        <v>488.1174933333333</v>
      </c>
    </row>
    <row r="254" spans="1:25" ht="12.75" customHeight="1" outlineLevel="2">
      <c r="A254" s="160">
        <v>1</v>
      </c>
      <c r="B254" s="162" t="s">
        <v>182</v>
      </c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4">
        <f t="shared" si="32"/>
        <v>0</v>
      </c>
    </row>
    <row r="255" spans="1:25" ht="18" outlineLevel="2">
      <c r="A255" s="160"/>
      <c r="B255" s="15">
        <f>D255+G255+J255</f>
        <v>160</v>
      </c>
      <c r="C255" s="15">
        <f>E255+H255+K255</f>
        <v>326.4</v>
      </c>
      <c r="D255" s="15">
        <v>160</v>
      </c>
      <c r="E255" s="8">
        <f>D255*FORECAST(D255,AA$14:AA$15,Z$14:Z$15)</f>
        <v>326.4</v>
      </c>
      <c r="F255" s="15" t="s">
        <v>433</v>
      </c>
      <c r="G255" s="15"/>
      <c r="H255" s="15"/>
      <c r="I255" s="15"/>
      <c r="J255" s="15"/>
      <c r="K255" s="15"/>
      <c r="L255" s="15"/>
      <c r="M255" s="15">
        <v>200</v>
      </c>
      <c r="N255" s="15">
        <v>600</v>
      </c>
      <c r="O255" s="8">
        <f>C255/0.92</f>
        <v>354.78260869565213</v>
      </c>
      <c r="P255" s="15">
        <v>2</v>
      </c>
      <c r="Q255" s="15">
        <v>200</v>
      </c>
      <c r="R255" s="8">
        <f>1.454*C255</f>
        <v>474.58559999999994</v>
      </c>
      <c r="S255" s="9">
        <f>E255*1.454*0.4</f>
        <v>189.83424</v>
      </c>
      <c r="T255" s="9">
        <f>E255*1.454*0.2</f>
        <v>94.91712</v>
      </c>
      <c r="U255" s="9">
        <f>E255*1.454*0.2</f>
        <v>94.91712</v>
      </c>
      <c r="V255" s="9">
        <f>E255*1.454*0.2</f>
        <v>94.91712</v>
      </c>
      <c r="W255" s="9">
        <f>H255*1.454</f>
        <v>0</v>
      </c>
      <c r="X255" s="9">
        <f>K255*1.454</f>
        <v>0</v>
      </c>
      <c r="Y255" s="4">
        <f t="shared" si="32"/>
        <v>189.83424</v>
      </c>
    </row>
    <row r="256" spans="1:25" ht="12.75" customHeight="1" outlineLevel="2">
      <c r="A256" s="160">
        <v>1</v>
      </c>
      <c r="B256" s="162" t="s">
        <v>183</v>
      </c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4">
        <f t="shared" si="32"/>
        <v>0</v>
      </c>
    </row>
    <row r="257" spans="1:25" ht="18" outlineLevel="2">
      <c r="A257" s="160"/>
      <c r="B257" s="15">
        <f>D257+G257+J257</f>
        <v>800</v>
      </c>
      <c r="C257" s="15">
        <f>E257+H257+K257</f>
        <v>1568</v>
      </c>
      <c r="D257" s="15">
        <v>800</v>
      </c>
      <c r="E257" s="8">
        <f>Z15*AA15*4</f>
        <v>1568</v>
      </c>
      <c r="F257" s="15" t="s">
        <v>433</v>
      </c>
      <c r="G257" s="15"/>
      <c r="H257" s="15"/>
      <c r="I257" s="15"/>
      <c r="J257" s="15"/>
      <c r="K257" s="15"/>
      <c r="L257" s="15"/>
      <c r="M257" s="15">
        <v>320</v>
      </c>
      <c r="N257" s="15">
        <v>3000</v>
      </c>
      <c r="O257" s="8">
        <f>C257/0.92</f>
        <v>1704.3478260869565</v>
      </c>
      <c r="P257" s="15">
        <v>2</v>
      </c>
      <c r="Q257" s="15">
        <v>1030</v>
      </c>
      <c r="R257" s="8">
        <f>1.454*C257</f>
        <v>2279.872</v>
      </c>
      <c r="S257" s="9">
        <f>E257*1.454*0.4</f>
        <v>911.9488</v>
      </c>
      <c r="T257" s="9">
        <f>E257*1.454*0.2</f>
        <v>455.9744</v>
      </c>
      <c r="U257" s="9">
        <f>E257*1.454*0.2</f>
        <v>455.9744</v>
      </c>
      <c r="V257" s="9">
        <f>E257*1.454*0.2</f>
        <v>455.9744</v>
      </c>
      <c r="W257" s="9">
        <f>H257*1.454</f>
        <v>0</v>
      </c>
      <c r="X257" s="9">
        <f>K257*1.454</f>
        <v>0</v>
      </c>
      <c r="Y257" s="4">
        <f t="shared" si="32"/>
        <v>911.9488</v>
      </c>
    </row>
    <row r="258" spans="1:25" ht="12.75" customHeight="1" outlineLevel="2">
      <c r="A258" s="160">
        <v>1</v>
      </c>
      <c r="B258" s="162" t="s">
        <v>184</v>
      </c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4">
        <f t="shared" si="32"/>
        <v>0</v>
      </c>
    </row>
    <row r="259" spans="1:25" ht="18" outlineLevel="2">
      <c r="A259" s="160"/>
      <c r="B259" s="15">
        <f>D259+G259+J259</f>
        <v>290</v>
      </c>
      <c r="C259" s="16">
        <f>E259+H259+K259</f>
        <v>591.35</v>
      </c>
      <c r="D259" s="15">
        <v>290</v>
      </c>
      <c r="E259" s="8">
        <f>Z15*AA15+90*FORECAST(90,AA$13:AA$14,Z$13:Z$14)</f>
        <v>591.35</v>
      </c>
      <c r="F259" s="15" t="s">
        <v>433</v>
      </c>
      <c r="G259" s="15"/>
      <c r="H259" s="15"/>
      <c r="I259" s="15"/>
      <c r="J259" s="15"/>
      <c r="K259" s="15"/>
      <c r="L259" s="15"/>
      <c r="M259" s="15">
        <v>300</v>
      </c>
      <c r="N259" s="15">
        <v>1080</v>
      </c>
      <c r="O259" s="8">
        <f>C259/0.92</f>
        <v>642.7717391304348</v>
      </c>
      <c r="P259" s="15">
        <v>1</v>
      </c>
      <c r="Q259" s="15">
        <v>350</v>
      </c>
      <c r="R259" s="8">
        <f>1.454*C259</f>
        <v>859.8229</v>
      </c>
      <c r="S259" s="9">
        <f>E259*1.454*0.4</f>
        <v>343.92916</v>
      </c>
      <c r="T259" s="9">
        <f>E259*1.454*0.2</f>
        <v>171.96458</v>
      </c>
      <c r="U259" s="9">
        <f>E259*1.454*0.2</f>
        <v>171.96458</v>
      </c>
      <c r="V259" s="9">
        <f>E259*1.454*0.2</f>
        <v>171.96458</v>
      </c>
      <c r="W259" s="9">
        <f>H259*1.454</f>
        <v>0</v>
      </c>
      <c r="X259" s="9">
        <f>K259*1.454</f>
        <v>0</v>
      </c>
      <c r="Y259" s="4">
        <f t="shared" si="32"/>
        <v>343.92916</v>
      </c>
    </row>
    <row r="260" spans="1:25" ht="12.75" customHeight="1" outlineLevel="2">
      <c r="A260" s="160">
        <v>1</v>
      </c>
      <c r="B260" s="162" t="s">
        <v>185</v>
      </c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4">
        <f t="shared" si="32"/>
        <v>0</v>
      </c>
    </row>
    <row r="261" spans="1:25" ht="18" outlineLevel="2">
      <c r="A261" s="160"/>
      <c r="B261" s="15">
        <f>D261+G261+J261</f>
        <v>130</v>
      </c>
      <c r="C261" s="15">
        <f>E261+H261+K261</f>
        <v>273</v>
      </c>
      <c r="D261" s="15">
        <v>130</v>
      </c>
      <c r="E261" s="8">
        <f>D261*FORECAST(D261,AA$14:AA$15,Z$14:Z$15)</f>
        <v>273</v>
      </c>
      <c r="F261" s="15" t="s">
        <v>433</v>
      </c>
      <c r="G261" s="15"/>
      <c r="H261" s="15"/>
      <c r="I261" s="15"/>
      <c r="J261" s="15"/>
      <c r="K261" s="15"/>
      <c r="L261" s="15"/>
      <c r="M261" s="15">
        <v>250</v>
      </c>
      <c r="N261" s="15">
        <v>480</v>
      </c>
      <c r="O261" s="8">
        <f>C261/0.92</f>
        <v>296.7391304347826</v>
      </c>
      <c r="P261" s="15">
        <v>1</v>
      </c>
      <c r="Q261" s="15">
        <v>160</v>
      </c>
      <c r="R261" s="8">
        <f>1.454*C261</f>
        <v>396.942</v>
      </c>
      <c r="S261" s="9">
        <f>E261*1.454*0.4</f>
        <v>158.7768</v>
      </c>
      <c r="T261" s="9">
        <f>E261*1.454*0.2</f>
        <v>79.3884</v>
      </c>
      <c r="U261" s="9">
        <f>E261*1.454*0.2</f>
        <v>79.3884</v>
      </c>
      <c r="V261" s="9">
        <f>E261*1.454*0.2</f>
        <v>79.3884</v>
      </c>
      <c r="W261" s="9">
        <f>H261*1.454</f>
        <v>0</v>
      </c>
      <c r="X261" s="9">
        <f>K261*1.454</f>
        <v>0</v>
      </c>
      <c r="Y261" s="4">
        <f t="shared" si="32"/>
        <v>158.7768</v>
      </c>
    </row>
    <row r="262" spans="1:25" ht="12.75" customHeight="1" outlineLevel="2">
      <c r="A262" s="160">
        <v>1</v>
      </c>
      <c r="B262" s="162" t="s">
        <v>186</v>
      </c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4">
        <f t="shared" si="32"/>
        <v>0</v>
      </c>
    </row>
    <row r="263" spans="1:25" ht="18" outlineLevel="2">
      <c r="A263" s="160"/>
      <c r="B263" s="15">
        <f>D263+G263+J263</f>
        <v>245</v>
      </c>
      <c r="C263" s="16">
        <f>E263+H263+K263</f>
        <v>508.55</v>
      </c>
      <c r="D263" s="15">
        <v>245</v>
      </c>
      <c r="E263" s="8">
        <f>Z15*AA15+45*FORECAST(45,AA$12:AA$13,Z$12:Z$13)</f>
        <v>508.55</v>
      </c>
      <c r="F263" s="15" t="s">
        <v>433</v>
      </c>
      <c r="G263" s="15"/>
      <c r="H263" s="15"/>
      <c r="I263" s="15"/>
      <c r="J263" s="15"/>
      <c r="K263" s="15"/>
      <c r="L263" s="15"/>
      <c r="M263" s="15">
        <v>300</v>
      </c>
      <c r="N263" s="15">
        <v>960</v>
      </c>
      <c r="O263" s="8">
        <f>C263/0.92</f>
        <v>552.7717391304348</v>
      </c>
      <c r="P263" s="15">
        <v>1</v>
      </c>
      <c r="Q263" s="15">
        <v>350</v>
      </c>
      <c r="R263" s="8">
        <f>1.454*C263</f>
        <v>739.4317</v>
      </c>
      <c r="S263" s="9">
        <f>E263*1.454*0.4</f>
        <v>295.77268</v>
      </c>
      <c r="T263" s="9">
        <f>E263*1.454*0.2</f>
        <v>147.88634</v>
      </c>
      <c r="U263" s="9">
        <f>E263*1.454*0.2</f>
        <v>147.88634</v>
      </c>
      <c r="V263" s="9">
        <f>E263*1.454*0.2</f>
        <v>147.88634</v>
      </c>
      <c r="W263" s="9">
        <f>H263*1.454</f>
        <v>0</v>
      </c>
      <c r="X263" s="9">
        <f>K263*1.454</f>
        <v>0</v>
      </c>
      <c r="Y263" s="4">
        <f t="shared" si="32"/>
        <v>295.77268</v>
      </c>
    </row>
    <row r="264" spans="1:25" ht="12.75" customHeight="1" outlineLevel="2">
      <c r="A264" s="160">
        <v>1</v>
      </c>
      <c r="B264" s="162" t="s">
        <v>187</v>
      </c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4">
        <f t="shared" si="32"/>
        <v>0</v>
      </c>
    </row>
    <row r="265" spans="1:25" ht="18" outlineLevel="2">
      <c r="A265" s="160"/>
      <c r="B265" s="15">
        <f>D265+G265+J265</f>
        <v>580</v>
      </c>
      <c r="C265" s="15">
        <f>E265+H265+K265</f>
        <v>1144</v>
      </c>
      <c r="D265" s="15">
        <v>580</v>
      </c>
      <c r="E265" s="8">
        <f>Z15*AA15*2+180*FORECAST(180,AA$14:AA$15,Z$14:Z$15)</f>
        <v>1144</v>
      </c>
      <c r="F265" s="15" t="s">
        <v>433</v>
      </c>
      <c r="G265" s="15"/>
      <c r="H265" s="15"/>
      <c r="I265" s="15"/>
      <c r="J265" s="15"/>
      <c r="K265" s="15"/>
      <c r="L265" s="15"/>
      <c r="M265" s="15"/>
      <c r="N265" s="15">
        <v>1800</v>
      </c>
      <c r="O265" s="8">
        <f>C265/0.92</f>
        <v>1243.4782608695652</v>
      </c>
      <c r="P265" s="15"/>
      <c r="Q265" s="15"/>
      <c r="R265" s="8">
        <f>1.454*C265</f>
        <v>1663.376</v>
      </c>
      <c r="S265" s="9">
        <f>E265*1.454*0.4</f>
        <v>665.3504</v>
      </c>
      <c r="T265" s="9">
        <f>E265*1.454*0.2</f>
        <v>332.6752</v>
      </c>
      <c r="U265" s="9">
        <f>E265*1.454*0.2</f>
        <v>332.6752</v>
      </c>
      <c r="V265" s="9">
        <f>E265*1.454*0.2</f>
        <v>332.6752</v>
      </c>
      <c r="W265" s="9">
        <f>H265*1.454</f>
        <v>0</v>
      </c>
      <c r="X265" s="9">
        <f>K265*1.454</f>
        <v>0</v>
      </c>
      <c r="Y265" s="4">
        <f t="shared" si="32"/>
        <v>665.3504</v>
      </c>
    </row>
    <row r="266" spans="1:25" ht="36" hidden="1" outlineLevel="1">
      <c r="A266" s="6" t="s">
        <v>436</v>
      </c>
      <c r="B266" s="6">
        <f>B251+B253+B255+B257+B259+B261+B263+B265</f>
        <v>2929</v>
      </c>
      <c r="C266" s="19">
        <f>C251+C253+C255+C257+C259+C261+C263+C265</f>
        <v>5921.998666666667</v>
      </c>
      <c r="D266" s="6">
        <f>D251+D253+D255+D257+D259+D261+D263+D265</f>
        <v>2929</v>
      </c>
      <c r="E266" s="19">
        <f>E251+E253+E255+E257+E259+E261+E263+E265</f>
        <v>5921.998666666667</v>
      </c>
      <c r="F266" s="6" t="s">
        <v>433</v>
      </c>
      <c r="G266" s="6">
        <f>G251+G253+G255+G257+G259+G261+G263+G265</f>
        <v>0</v>
      </c>
      <c r="H266" s="6">
        <f>H251+H253+H255+H257+H259+H261+H263+H265</f>
        <v>0</v>
      </c>
      <c r="I266" s="6" t="s">
        <v>441</v>
      </c>
      <c r="J266" s="6">
        <f>J251+J253+J255+J257+J259+J261+J263+J265</f>
        <v>0</v>
      </c>
      <c r="K266" s="6">
        <f>K251+K253+K255+K257+K259+K261+K263+K265</f>
        <v>0</v>
      </c>
      <c r="L266" s="6" t="s">
        <v>441</v>
      </c>
      <c r="M266" s="6">
        <f aca="true" t="shared" si="35" ref="M266:X266">M251+M253+M255+M257+M259+M261+M263+M265</f>
        <v>1960</v>
      </c>
      <c r="N266" s="6">
        <f t="shared" si="35"/>
        <v>15880</v>
      </c>
      <c r="O266" s="19">
        <f t="shared" si="35"/>
        <v>6436.955072463768</v>
      </c>
      <c r="P266" s="6">
        <f t="shared" si="35"/>
        <v>13</v>
      </c>
      <c r="Q266" s="6">
        <f t="shared" si="35"/>
        <v>3750</v>
      </c>
      <c r="R266" s="19">
        <f t="shared" si="35"/>
        <v>8610.586061333333</v>
      </c>
      <c r="S266" s="19">
        <f t="shared" si="35"/>
        <v>3444.2344245333334</v>
      </c>
      <c r="T266" s="19">
        <f t="shared" si="35"/>
        <v>1722.1172122666667</v>
      </c>
      <c r="U266" s="19">
        <f t="shared" si="35"/>
        <v>1722.1172122666667</v>
      </c>
      <c r="V266" s="19">
        <f t="shared" si="35"/>
        <v>1722.1172122666667</v>
      </c>
      <c r="W266" s="19">
        <f t="shared" si="35"/>
        <v>0</v>
      </c>
      <c r="X266" s="19">
        <f t="shared" si="35"/>
        <v>0</v>
      </c>
      <c r="Y266" s="4">
        <f t="shared" si="32"/>
        <v>3444.2344245333334</v>
      </c>
    </row>
    <row r="267" spans="1:25" ht="12.75" customHeight="1" outlineLevel="2">
      <c r="A267" s="160">
        <v>1</v>
      </c>
      <c r="B267" s="162" t="s">
        <v>488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4">
        <f t="shared" si="32"/>
        <v>0</v>
      </c>
    </row>
    <row r="268" spans="1:25" ht="18" outlineLevel="2">
      <c r="A268" s="160"/>
      <c r="B268" s="15">
        <f>D268+G268+J268</f>
        <v>30</v>
      </c>
      <c r="C268" s="16">
        <f>E268+H268+K268</f>
        <v>92.73749999999998</v>
      </c>
      <c r="D268" s="15">
        <v>30</v>
      </c>
      <c r="E268" s="8">
        <f>D268*FORECAST(D268,AA$11:AA$12,Z$11:Z$12)</f>
        <v>92.73749999999998</v>
      </c>
      <c r="F268" s="15" t="s">
        <v>433</v>
      </c>
      <c r="G268" s="15"/>
      <c r="H268" s="15"/>
      <c r="I268" s="15"/>
      <c r="J268" s="15"/>
      <c r="K268" s="15"/>
      <c r="L268" s="15"/>
      <c r="M268" s="15">
        <v>20</v>
      </c>
      <c r="N268" s="15">
        <v>700</v>
      </c>
      <c r="O268" s="8">
        <f>C268/0.92</f>
        <v>100.80163043478258</v>
      </c>
      <c r="P268" s="15">
        <v>1</v>
      </c>
      <c r="Q268" s="15">
        <v>160</v>
      </c>
      <c r="R268" s="8">
        <f>1.454*C268</f>
        <v>134.84032499999998</v>
      </c>
      <c r="S268" s="9">
        <f>E268*1.454*0.4</f>
        <v>53.93612999999999</v>
      </c>
      <c r="T268" s="9">
        <f>E268*1.454*0.2</f>
        <v>26.968064999999996</v>
      </c>
      <c r="U268" s="9">
        <f>E268*1.454*0.2</f>
        <v>26.968064999999996</v>
      </c>
      <c r="V268" s="9">
        <f>E268*1.454*0.2</f>
        <v>26.968064999999996</v>
      </c>
      <c r="W268" s="9">
        <f>H268*1.454</f>
        <v>0</v>
      </c>
      <c r="X268" s="9">
        <f>K268*1.454</f>
        <v>0</v>
      </c>
      <c r="Y268" s="4">
        <f t="shared" si="32"/>
        <v>53.93612999999999</v>
      </c>
    </row>
    <row r="269" spans="1:25" ht="12.75" customHeight="1" outlineLevel="2">
      <c r="A269" s="160">
        <v>1</v>
      </c>
      <c r="B269" s="162" t="s">
        <v>188</v>
      </c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4">
        <f t="shared" si="32"/>
        <v>0</v>
      </c>
    </row>
    <row r="270" spans="1:25" ht="18" outlineLevel="2">
      <c r="A270" s="160"/>
      <c r="B270" s="15">
        <f>D270+G270+J270</f>
        <v>96</v>
      </c>
      <c r="C270" s="16">
        <f>E270+H270+K270</f>
        <v>209.47200000000004</v>
      </c>
      <c r="D270" s="15">
        <v>96</v>
      </c>
      <c r="E270" s="8">
        <f>D270*FORECAST(D270,AA$13:AA$14,Z$13:Z$14)</f>
        <v>209.47200000000004</v>
      </c>
      <c r="F270" s="15" t="s">
        <v>433</v>
      </c>
      <c r="G270" s="15"/>
      <c r="H270" s="15"/>
      <c r="I270" s="15"/>
      <c r="J270" s="15"/>
      <c r="K270" s="15"/>
      <c r="L270" s="15"/>
      <c r="M270" s="15">
        <v>180</v>
      </c>
      <c r="N270" s="15">
        <v>360</v>
      </c>
      <c r="O270" s="8">
        <f>C270/0.92</f>
        <v>227.68695652173915</v>
      </c>
      <c r="P270" s="15">
        <v>1</v>
      </c>
      <c r="Q270" s="15">
        <v>100</v>
      </c>
      <c r="R270" s="8">
        <f>1.454*C270</f>
        <v>304.57228800000007</v>
      </c>
      <c r="S270" s="9">
        <f>E270*1.454*0.4</f>
        <v>121.82891520000004</v>
      </c>
      <c r="T270" s="9">
        <f>E270*1.454*0.2</f>
        <v>60.91445760000002</v>
      </c>
      <c r="U270" s="9">
        <f>E270*1.454*0.2</f>
        <v>60.91445760000002</v>
      </c>
      <c r="V270" s="9">
        <f>E270*1.454*0.2</f>
        <v>60.91445760000002</v>
      </c>
      <c r="W270" s="9">
        <f>H270*1.454</f>
        <v>0</v>
      </c>
      <c r="X270" s="9">
        <f>K270*1.454</f>
        <v>0</v>
      </c>
      <c r="Y270" s="4">
        <f t="shared" si="32"/>
        <v>121.82891520000004</v>
      </c>
    </row>
    <row r="271" spans="1:25" ht="12.75" customHeight="1" outlineLevel="2">
      <c r="A271" s="160">
        <v>1</v>
      </c>
      <c r="B271" s="162" t="s">
        <v>189</v>
      </c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4">
        <f t="shared" si="32"/>
        <v>0</v>
      </c>
    </row>
    <row r="272" spans="1:25" ht="18" outlineLevel="2">
      <c r="A272" s="160"/>
      <c r="B272" s="15">
        <f>D272+G272+J272</f>
        <v>320</v>
      </c>
      <c r="C272" s="15">
        <f>E272+H272+K272</f>
        <v>646.4</v>
      </c>
      <c r="D272" s="15">
        <v>320</v>
      </c>
      <c r="E272" s="8">
        <f>Z15*AA15+120*FORECAST(120,AA$14:AA$15,Z$14:Z$15)</f>
        <v>646.4</v>
      </c>
      <c r="F272" s="15" t="s">
        <v>433</v>
      </c>
      <c r="G272" s="15"/>
      <c r="H272" s="15"/>
      <c r="I272" s="15"/>
      <c r="J272" s="15"/>
      <c r="K272" s="15"/>
      <c r="L272" s="15"/>
      <c r="M272" s="15">
        <v>240</v>
      </c>
      <c r="N272" s="15">
        <v>1200</v>
      </c>
      <c r="O272" s="8">
        <f>C272/0.92</f>
        <v>702.6086956521739</v>
      </c>
      <c r="P272" s="15">
        <v>1</v>
      </c>
      <c r="Q272" s="15">
        <v>400</v>
      </c>
      <c r="R272" s="8">
        <f>1.454*C272</f>
        <v>939.8656</v>
      </c>
      <c r="S272" s="9">
        <f>E272*1.454*0.4</f>
        <v>375.94624</v>
      </c>
      <c r="T272" s="9">
        <f>E272*1.454*0.2</f>
        <v>187.97312</v>
      </c>
      <c r="U272" s="9">
        <f>E272*1.454*0.2</f>
        <v>187.97312</v>
      </c>
      <c r="V272" s="9">
        <f>E272*1.454*0.2</f>
        <v>187.97312</v>
      </c>
      <c r="W272" s="9">
        <f>H272*1.454</f>
        <v>0</v>
      </c>
      <c r="X272" s="9">
        <f>K272*1.454</f>
        <v>0</v>
      </c>
      <c r="Y272" s="4">
        <f t="shared" si="32"/>
        <v>375.94624</v>
      </c>
    </row>
    <row r="273" spans="1:25" ht="12.75" customHeight="1" outlineLevel="2">
      <c r="A273" s="160">
        <v>1</v>
      </c>
      <c r="B273" s="162" t="s">
        <v>190</v>
      </c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4">
        <f t="shared" si="32"/>
        <v>0</v>
      </c>
    </row>
    <row r="274" spans="1:25" ht="18" outlineLevel="2">
      <c r="A274" s="160"/>
      <c r="B274" s="15">
        <f>D274+G274+J274</f>
        <v>320</v>
      </c>
      <c r="C274" s="15">
        <f>E274+H274+K274</f>
        <v>646.4</v>
      </c>
      <c r="D274" s="15">
        <v>320</v>
      </c>
      <c r="E274" s="8">
        <f>Z15*AA15+120*FORECAST(120,AA$14:AA$15,Z$14:Z$15)</f>
        <v>646.4</v>
      </c>
      <c r="F274" s="15" t="s">
        <v>433</v>
      </c>
      <c r="G274" s="15"/>
      <c r="H274" s="15"/>
      <c r="I274" s="15"/>
      <c r="J274" s="15"/>
      <c r="K274" s="15"/>
      <c r="L274" s="15"/>
      <c r="M274" s="15">
        <v>350</v>
      </c>
      <c r="N274" s="15">
        <v>1200</v>
      </c>
      <c r="O274" s="8">
        <f>C274/0.92</f>
        <v>702.6086956521739</v>
      </c>
      <c r="P274" s="15">
        <v>1</v>
      </c>
      <c r="Q274" s="15">
        <v>400</v>
      </c>
      <c r="R274" s="8">
        <f>1.454*C274</f>
        <v>939.8656</v>
      </c>
      <c r="S274" s="9">
        <f>E274*1.454*0.4</f>
        <v>375.94624</v>
      </c>
      <c r="T274" s="9">
        <f>E274*1.454*0.2</f>
        <v>187.97312</v>
      </c>
      <c r="U274" s="9">
        <f>E274*1.454*0.2</f>
        <v>187.97312</v>
      </c>
      <c r="V274" s="9">
        <f>E274*1.454*0.2</f>
        <v>187.97312</v>
      </c>
      <c r="W274" s="9">
        <f>H274*1.454</f>
        <v>0</v>
      </c>
      <c r="X274" s="9">
        <f>K274*1.454</f>
        <v>0</v>
      </c>
      <c r="Y274" s="4">
        <f t="shared" si="32"/>
        <v>375.94624</v>
      </c>
    </row>
    <row r="275" spans="1:25" ht="12.75" customHeight="1" outlineLevel="2">
      <c r="A275" s="160">
        <v>1</v>
      </c>
      <c r="B275" s="162" t="s">
        <v>191</v>
      </c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4">
        <f t="shared" si="32"/>
        <v>0</v>
      </c>
    </row>
    <row r="276" spans="1:25" ht="18" outlineLevel="2">
      <c r="A276" s="160"/>
      <c r="B276" s="15">
        <f>D276+G276+J276</f>
        <v>280</v>
      </c>
      <c r="C276" s="15">
        <f>E276+H276+K276</f>
        <v>573.6</v>
      </c>
      <c r="D276" s="15">
        <v>280</v>
      </c>
      <c r="E276" s="8">
        <f>Z15*AA15+80*FORECAST(80,AA$13:AA$14,Z$13:Z$14)</f>
        <v>573.6</v>
      </c>
      <c r="F276" s="15" t="s">
        <v>433</v>
      </c>
      <c r="G276" s="15"/>
      <c r="H276" s="15"/>
      <c r="I276" s="15"/>
      <c r="J276" s="15"/>
      <c r="K276" s="15"/>
      <c r="L276" s="15"/>
      <c r="M276" s="15">
        <v>200</v>
      </c>
      <c r="N276" s="15">
        <v>1068</v>
      </c>
      <c r="O276" s="8">
        <f>C276/0.92</f>
        <v>623.4782608695652</v>
      </c>
      <c r="P276" s="15">
        <v>1</v>
      </c>
      <c r="Q276" s="15">
        <v>400</v>
      </c>
      <c r="R276" s="8">
        <f>1.454*C276</f>
        <v>834.0144</v>
      </c>
      <c r="S276" s="9">
        <f>E276*1.454*0.4</f>
        <v>333.60576000000003</v>
      </c>
      <c r="T276" s="9">
        <f>E276*1.454*0.2</f>
        <v>166.80288000000002</v>
      </c>
      <c r="U276" s="9">
        <f>E276*1.454*0.2</f>
        <v>166.80288000000002</v>
      </c>
      <c r="V276" s="9">
        <f>E276*1.454*0.2</f>
        <v>166.80288000000002</v>
      </c>
      <c r="W276" s="9">
        <f>H276*1.454</f>
        <v>0</v>
      </c>
      <c r="X276" s="9">
        <f>K276*1.454</f>
        <v>0</v>
      </c>
      <c r="Y276" s="4">
        <f t="shared" si="32"/>
        <v>333.60576000000003</v>
      </c>
    </row>
    <row r="277" spans="1:25" ht="12.75" customHeight="1" outlineLevel="2">
      <c r="A277" s="160">
        <v>1</v>
      </c>
      <c r="B277" s="162" t="s">
        <v>532</v>
      </c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4">
        <f t="shared" si="32"/>
        <v>0</v>
      </c>
    </row>
    <row r="278" spans="1:25" ht="18" outlineLevel="2">
      <c r="A278" s="160"/>
      <c r="B278" s="15">
        <f>D278+G278+J278</f>
        <v>432</v>
      </c>
      <c r="C278" s="16">
        <f>E278+H278+K278</f>
        <v>880.16</v>
      </c>
      <c r="D278" s="15">
        <v>432</v>
      </c>
      <c r="E278" s="8">
        <f>Z15*2*AA15+32*FORECAST(32,AA$11:AA$12,Z$11:Z$12)</f>
        <v>880.16</v>
      </c>
      <c r="F278" s="15" t="s">
        <v>433</v>
      </c>
      <c r="G278" s="15"/>
      <c r="H278" s="15"/>
      <c r="I278" s="15"/>
      <c r="J278" s="15"/>
      <c r="K278" s="15"/>
      <c r="L278" s="15"/>
      <c r="M278" s="15">
        <v>180</v>
      </c>
      <c r="N278" s="15">
        <v>1620</v>
      </c>
      <c r="O278" s="8">
        <f>C278/0.92</f>
        <v>956.695652173913</v>
      </c>
      <c r="P278" s="15">
        <v>2</v>
      </c>
      <c r="Q278" s="15">
        <v>700</v>
      </c>
      <c r="R278" s="8">
        <f>1.454*C278</f>
        <v>1279.75264</v>
      </c>
      <c r="S278" s="9">
        <f>E278*1.454*0.4</f>
        <v>511.901056</v>
      </c>
      <c r="T278" s="9">
        <f>E278*1.454*0.2</f>
        <v>255.950528</v>
      </c>
      <c r="U278" s="9">
        <f>E278*1.454*0.2</f>
        <v>255.950528</v>
      </c>
      <c r="V278" s="9">
        <f>E278*1.454*0.2</f>
        <v>255.950528</v>
      </c>
      <c r="W278" s="9">
        <f>H278*1.454</f>
        <v>0</v>
      </c>
      <c r="X278" s="9">
        <f>K278*1.454</f>
        <v>0</v>
      </c>
      <c r="Y278" s="4">
        <f t="shared" si="32"/>
        <v>511.901056</v>
      </c>
    </row>
    <row r="279" spans="1:24" s="63" customFormat="1" ht="14.25" customHeight="1">
      <c r="A279" s="165">
        <v>2</v>
      </c>
      <c r="B279" s="162" t="s">
        <v>740</v>
      </c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</row>
    <row r="280" spans="1:24" s="63" customFormat="1" ht="17.25" customHeight="1">
      <c r="A280" s="165"/>
      <c r="B280" s="70">
        <v>31</v>
      </c>
      <c r="C280" s="70">
        <v>217</v>
      </c>
      <c r="D280" s="70">
        <v>31</v>
      </c>
      <c r="E280" s="70">
        <v>217</v>
      </c>
      <c r="F280" s="70" t="s">
        <v>433</v>
      </c>
      <c r="G280" s="70"/>
      <c r="H280" s="70"/>
      <c r="I280" s="70"/>
      <c r="J280" s="70"/>
      <c r="K280" s="70"/>
      <c r="L280" s="70"/>
      <c r="M280" s="70">
        <v>0</v>
      </c>
      <c r="N280" s="70">
        <v>1000</v>
      </c>
      <c r="O280" s="75">
        <v>220</v>
      </c>
      <c r="P280" s="70"/>
      <c r="Q280" s="70"/>
      <c r="R280" s="76">
        <v>290</v>
      </c>
      <c r="S280" s="70">
        <v>116</v>
      </c>
      <c r="T280" s="70">
        <v>58</v>
      </c>
      <c r="U280" s="70">
        <v>58</v>
      </c>
      <c r="V280" s="70">
        <v>58</v>
      </c>
      <c r="W280" s="76">
        <v>0</v>
      </c>
      <c r="X280" s="76">
        <v>0</v>
      </c>
    </row>
    <row r="281" spans="1:24" s="63" customFormat="1" ht="18" customHeight="1">
      <c r="A281" s="165">
        <v>3</v>
      </c>
      <c r="B281" s="162" t="s">
        <v>92</v>
      </c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</row>
    <row r="282" spans="1:24" s="63" customFormat="1" ht="14.25" customHeight="1">
      <c r="A282" s="165"/>
      <c r="B282" s="70">
        <v>43</v>
      </c>
      <c r="C282" s="70">
        <v>301</v>
      </c>
      <c r="D282" s="70">
        <v>43</v>
      </c>
      <c r="E282" s="70">
        <v>301</v>
      </c>
      <c r="F282" s="70" t="s">
        <v>433</v>
      </c>
      <c r="G282" s="70"/>
      <c r="H282" s="70"/>
      <c r="I282" s="70"/>
      <c r="J282" s="70"/>
      <c r="K282" s="70"/>
      <c r="L282" s="70"/>
      <c r="M282" s="70">
        <v>0</v>
      </c>
      <c r="N282" s="70">
        <v>600</v>
      </c>
      <c r="O282" s="75">
        <v>308.2</v>
      </c>
      <c r="P282" s="70"/>
      <c r="Q282" s="70"/>
      <c r="R282" s="76">
        <v>170</v>
      </c>
      <c r="S282" s="70">
        <v>68</v>
      </c>
      <c r="T282" s="70">
        <v>34</v>
      </c>
      <c r="U282" s="70">
        <v>34</v>
      </c>
      <c r="V282" s="70">
        <v>34</v>
      </c>
      <c r="W282" s="76">
        <v>0</v>
      </c>
      <c r="X282" s="76">
        <v>0</v>
      </c>
    </row>
    <row r="283" spans="1:24" s="63" customFormat="1" ht="33.75" customHeight="1">
      <c r="A283" s="6" t="s">
        <v>431</v>
      </c>
      <c r="B283" s="76">
        <f>B278+B280+B282</f>
        <v>506</v>
      </c>
      <c r="C283" s="76">
        <f aca="true" t="shared" si="36" ref="C283:X283">C278+C280+C282</f>
        <v>1398.1599999999999</v>
      </c>
      <c r="D283" s="76">
        <f t="shared" si="36"/>
        <v>506</v>
      </c>
      <c r="E283" s="76">
        <f t="shared" si="36"/>
        <v>1398.1599999999999</v>
      </c>
      <c r="F283" s="76" t="s">
        <v>433</v>
      </c>
      <c r="G283" s="75">
        <f t="shared" si="36"/>
        <v>0</v>
      </c>
      <c r="H283" s="75">
        <f t="shared" si="36"/>
        <v>0</v>
      </c>
      <c r="I283" s="76" t="s">
        <v>698</v>
      </c>
      <c r="J283" s="75">
        <f t="shared" si="36"/>
        <v>0</v>
      </c>
      <c r="K283" s="75">
        <f t="shared" si="36"/>
        <v>0</v>
      </c>
      <c r="L283" s="76" t="s">
        <v>698</v>
      </c>
      <c r="M283" s="76">
        <f t="shared" si="36"/>
        <v>180</v>
      </c>
      <c r="N283" s="76">
        <f t="shared" si="36"/>
        <v>3220</v>
      </c>
      <c r="O283" s="76">
        <f t="shared" si="36"/>
        <v>1484.895652173913</v>
      </c>
      <c r="P283" s="76">
        <f t="shared" si="36"/>
        <v>2</v>
      </c>
      <c r="Q283" s="76">
        <f t="shared" si="36"/>
        <v>700</v>
      </c>
      <c r="R283" s="76">
        <f t="shared" si="36"/>
        <v>1739.75264</v>
      </c>
      <c r="S283" s="76">
        <f t="shared" si="36"/>
        <v>695.9010559999999</v>
      </c>
      <c r="T283" s="76">
        <f t="shared" si="36"/>
        <v>347.95052799999996</v>
      </c>
      <c r="U283" s="76">
        <f t="shared" si="36"/>
        <v>347.95052799999996</v>
      </c>
      <c r="V283" s="76">
        <f t="shared" si="36"/>
        <v>347.95052799999996</v>
      </c>
      <c r="W283" s="76">
        <f t="shared" si="36"/>
        <v>0</v>
      </c>
      <c r="X283" s="76">
        <f t="shared" si="36"/>
        <v>0</v>
      </c>
    </row>
    <row r="284" spans="1:24" s="63" customFormat="1" ht="18.75" customHeight="1">
      <c r="A284" s="165">
        <v>1</v>
      </c>
      <c r="B284" s="162" t="s">
        <v>17</v>
      </c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</row>
    <row r="285" spans="1:24" s="63" customFormat="1" ht="15.75" customHeight="1">
      <c r="A285" s="165"/>
      <c r="B285" s="70">
        <v>71</v>
      </c>
      <c r="C285" s="70">
        <v>497</v>
      </c>
      <c r="D285" s="70">
        <v>71</v>
      </c>
      <c r="E285" s="70">
        <v>497</v>
      </c>
      <c r="F285" s="70" t="s">
        <v>433</v>
      </c>
      <c r="G285" s="70"/>
      <c r="H285" s="70"/>
      <c r="I285" s="70"/>
      <c r="J285" s="70"/>
      <c r="K285" s="70"/>
      <c r="L285" s="70"/>
      <c r="M285" s="70">
        <v>1629</v>
      </c>
      <c r="N285" s="70">
        <v>1830</v>
      </c>
      <c r="O285" s="75">
        <v>505</v>
      </c>
      <c r="P285" s="70">
        <v>1</v>
      </c>
      <c r="Q285" s="70">
        <v>160</v>
      </c>
      <c r="R285" s="77">
        <v>535.313</v>
      </c>
      <c r="S285" s="70">
        <v>214.124</v>
      </c>
      <c r="T285" s="70">
        <v>107.063</v>
      </c>
      <c r="U285" s="70">
        <v>107.063</v>
      </c>
      <c r="V285" s="70">
        <v>107.063</v>
      </c>
      <c r="W285" s="76">
        <v>0</v>
      </c>
      <c r="X285" s="76">
        <v>0</v>
      </c>
    </row>
    <row r="286" spans="1:24" s="63" customFormat="1" ht="12.75" customHeight="1">
      <c r="A286" s="165">
        <v>1</v>
      </c>
      <c r="B286" s="162" t="s">
        <v>18</v>
      </c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</row>
    <row r="287" spans="1:24" s="63" customFormat="1" ht="14.25" customHeight="1">
      <c r="A287" s="165"/>
      <c r="B287" s="70">
        <v>79</v>
      </c>
      <c r="C287" s="70">
        <v>553</v>
      </c>
      <c r="D287" s="70">
        <v>79</v>
      </c>
      <c r="E287" s="70">
        <v>553</v>
      </c>
      <c r="F287" s="70" t="s">
        <v>433</v>
      </c>
      <c r="G287" s="70"/>
      <c r="H287" s="70"/>
      <c r="I287" s="70"/>
      <c r="J287" s="70"/>
      <c r="K287" s="70"/>
      <c r="L287" s="70"/>
      <c r="M287" s="70">
        <v>180</v>
      </c>
      <c r="N287" s="70">
        <v>2585</v>
      </c>
      <c r="O287" s="70">
        <v>562</v>
      </c>
      <c r="P287" s="70">
        <v>1</v>
      </c>
      <c r="Q287" s="70">
        <v>160</v>
      </c>
      <c r="R287" s="76">
        <v>608.5</v>
      </c>
      <c r="S287" s="70">
        <v>243.4</v>
      </c>
      <c r="T287" s="70">
        <v>121.7</v>
      </c>
      <c r="U287" s="70">
        <v>121.7</v>
      </c>
      <c r="V287" s="70">
        <v>121.7</v>
      </c>
      <c r="W287" s="76">
        <v>0</v>
      </c>
      <c r="X287" s="76">
        <v>0</v>
      </c>
    </row>
    <row r="288" spans="1:24" s="63" customFormat="1" ht="18.75" customHeight="1">
      <c r="A288" s="165">
        <v>1</v>
      </c>
      <c r="B288" s="162" t="s">
        <v>19</v>
      </c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</row>
    <row r="289" spans="1:24" s="63" customFormat="1" ht="15" customHeight="1">
      <c r="A289" s="165"/>
      <c r="B289" s="70">
        <v>108</v>
      </c>
      <c r="C289" s="70">
        <v>756</v>
      </c>
      <c r="D289" s="70">
        <v>108</v>
      </c>
      <c r="E289" s="70">
        <v>756</v>
      </c>
      <c r="F289" s="70" t="s">
        <v>433</v>
      </c>
      <c r="G289" s="70"/>
      <c r="H289" s="70"/>
      <c r="I289" s="70"/>
      <c r="J289" s="70"/>
      <c r="K289" s="70"/>
      <c r="L289" s="70"/>
      <c r="M289" s="70">
        <v>135</v>
      </c>
      <c r="N289" s="70">
        <v>3100</v>
      </c>
      <c r="O289" s="70">
        <v>764</v>
      </c>
      <c r="P289" s="70">
        <v>1</v>
      </c>
      <c r="Q289" s="70">
        <v>250</v>
      </c>
      <c r="R289" s="77">
        <v>580.27</v>
      </c>
      <c r="S289" s="70">
        <v>232.108</v>
      </c>
      <c r="T289" s="70">
        <v>116.054</v>
      </c>
      <c r="U289" s="70">
        <v>116.054</v>
      </c>
      <c r="V289" s="70">
        <v>116.054</v>
      </c>
      <c r="W289" s="76">
        <v>0</v>
      </c>
      <c r="X289" s="76">
        <v>0</v>
      </c>
    </row>
    <row r="290" spans="1:24" s="63" customFormat="1" ht="15.75" customHeight="1">
      <c r="A290" s="165">
        <v>1</v>
      </c>
      <c r="B290" s="162" t="s">
        <v>20</v>
      </c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</row>
    <row r="291" spans="1:24" s="63" customFormat="1" ht="18" customHeight="1">
      <c r="A291" s="165"/>
      <c r="B291" s="70">
        <v>78</v>
      </c>
      <c r="C291" s="70">
        <v>546</v>
      </c>
      <c r="D291" s="70">
        <v>78</v>
      </c>
      <c r="E291" s="70">
        <v>546</v>
      </c>
      <c r="F291" s="70" t="s">
        <v>433</v>
      </c>
      <c r="G291" s="70"/>
      <c r="H291" s="70"/>
      <c r="I291" s="70"/>
      <c r="J291" s="70"/>
      <c r="K291" s="70"/>
      <c r="L291" s="70"/>
      <c r="M291" s="70">
        <v>380</v>
      </c>
      <c r="N291" s="70">
        <v>1100</v>
      </c>
      <c r="O291" s="70">
        <v>554</v>
      </c>
      <c r="P291" s="70">
        <v>1</v>
      </c>
      <c r="Q291" s="70">
        <v>250</v>
      </c>
      <c r="R291" s="77">
        <v>296.359</v>
      </c>
      <c r="S291" s="70">
        <v>118.544</v>
      </c>
      <c r="T291" s="70">
        <v>59.272</v>
      </c>
      <c r="U291" s="70">
        <v>59.272</v>
      </c>
      <c r="V291" s="70">
        <v>59.272</v>
      </c>
      <c r="W291" s="76">
        <v>0</v>
      </c>
      <c r="X291" s="76">
        <v>0</v>
      </c>
    </row>
    <row r="292" spans="1:24" s="63" customFormat="1" ht="15.75" customHeight="1">
      <c r="A292" s="165">
        <v>2</v>
      </c>
      <c r="B292" s="162" t="s">
        <v>21</v>
      </c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</row>
    <row r="293" spans="1:24" s="63" customFormat="1" ht="15.75" customHeight="1">
      <c r="A293" s="165"/>
      <c r="B293" s="70">
        <v>116</v>
      </c>
      <c r="C293" s="70">
        <v>812</v>
      </c>
      <c r="D293" s="70">
        <v>116</v>
      </c>
      <c r="E293" s="70">
        <v>812</v>
      </c>
      <c r="F293" s="70" t="s">
        <v>433</v>
      </c>
      <c r="G293" s="70"/>
      <c r="H293" s="70"/>
      <c r="I293" s="70"/>
      <c r="J293" s="70"/>
      <c r="K293" s="70"/>
      <c r="L293" s="70"/>
      <c r="M293" s="70">
        <v>320</v>
      </c>
      <c r="N293" s="70">
        <v>950</v>
      </c>
      <c r="O293" s="70">
        <v>820</v>
      </c>
      <c r="P293" s="70">
        <v>1</v>
      </c>
      <c r="Q293" s="70">
        <v>250</v>
      </c>
      <c r="R293" s="76">
        <v>282.759</v>
      </c>
      <c r="S293" s="77">
        <v>113.12</v>
      </c>
      <c r="T293" s="77">
        <v>56.56</v>
      </c>
      <c r="U293" s="77">
        <v>56.56</v>
      </c>
      <c r="V293" s="77">
        <v>56.56</v>
      </c>
      <c r="W293" s="76">
        <v>0</v>
      </c>
      <c r="X293" s="76">
        <v>0</v>
      </c>
    </row>
    <row r="294" spans="1:24" s="63" customFormat="1" ht="15" customHeight="1">
      <c r="A294" s="165">
        <v>3</v>
      </c>
      <c r="B294" s="162" t="s">
        <v>22</v>
      </c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</row>
    <row r="295" spans="1:24" s="63" customFormat="1" ht="15.75" customHeight="1">
      <c r="A295" s="165"/>
      <c r="B295" s="70">
        <v>55</v>
      </c>
      <c r="C295" s="70">
        <v>385</v>
      </c>
      <c r="D295" s="70">
        <v>55</v>
      </c>
      <c r="E295" s="70">
        <v>385</v>
      </c>
      <c r="F295" s="70" t="s">
        <v>433</v>
      </c>
      <c r="G295" s="70"/>
      <c r="H295" s="70"/>
      <c r="I295" s="70"/>
      <c r="J295" s="70"/>
      <c r="K295" s="70"/>
      <c r="L295" s="70"/>
      <c r="M295" s="70">
        <v>0</v>
      </c>
      <c r="N295" s="70">
        <v>1040</v>
      </c>
      <c r="O295" s="70">
        <v>393</v>
      </c>
      <c r="P295" s="70"/>
      <c r="Q295" s="70"/>
      <c r="R295" s="76">
        <v>202.7</v>
      </c>
      <c r="S295" s="70">
        <v>81.08</v>
      </c>
      <c r="T295" s="70">
        <v>40.54</v>
      </c>
      <c r="U295" s="70">
        <v>40.54</v>
      </c>
      <c r="V295" s="70">
        <v>40.54</v>
      </c>
      <c r="W295" s="76">
        <v>0</v>
      </c>
      <c r="X295" s="76">
        <v>0</v>
      </c>
    </row>
    <row r="296" spans="1:24" ht="36" outlineLevel="2">
      <c r="A296" s="6" t="s">
        <v>431</v>
      </c>
      <c r="B296" s="78">
        <f>B291+B293+B295</f>
        <v>249</v>
      </c>
      <c r="C296" s="78">
        <f aca="true" t="shared" si="37" ref="C296:X296">C291+C293+C295</f>
        <v>1743</v>
      </c>
      <c r="D296" s="78">
        <f t="shared" si="37"/>
        <v>249</v>
      </c>
      <c r="E296" s="78">
        <f t="shared" si="37"/>
        <v>1743</v>
      </c>
      <c r="F296" s="16" t="s">
        <v>433</v>
      </c>
      <c r="G296" s="78">
        <f t="shared" si="37"/>
        <v>0</v>
      </c>
      <c r="H296" s="78">
        <f t="shared" si="37"/>
        <v>0</v>
      </c>
      <c r="I296" s="16" t="s">
        <v>441</v>
      </c>
      <c r="J296" s="78">
        <f t="shared" si="37"/>
        <v>0</v>
      </c>
      <c r="K296" s="78">
        <f t="shared" si="37"/>
        <v>0</v>
      </c>
      <c r="L296" s="16" t="s">
        <v>441</v>
      </c>
      <c r="M296" s="16">
        <f t="shared" si="37"/>
        <v>700</v>
      </c>
      <c r="N296" s="16">
        <f t="shared" si="37"/>
        <v>3090</v>
      </c>
      <c r="O296" s="16">
        <f t="shared" si="37"/>
        <v>1767</v>
      </c>
      <c r="P296" s="16">
        <f t="shared" si="37"/>
        <v>2</v>
      </c>
      <c r="Q296" s="16">
        <f t="shared" si="37"/>
        <v>500</v>
      </c>
      <c r="R296" s="16">
        <f t="shared" si="37"/>
        <v>781.818</v>
      </c>
      <c r="S296" s="16">
        <f t="shared" si="37"/>
        <v>312.74399999999997</v>
      </c>
      <c r="T296" s="16">
        <f t="shared" si="37"/>
        <v>156.37199999999999</v>
      </c>
      <c r="U296" s="16">
        <f t="shared" si="37"/>
        <v>156.37199999999999</v>
      </c>
      <c r="V296" s="16">
        <f t="shared" si="37"/>
        <v>156.37199999999999</v>
      </c>
      <c r="W296" s="16">
        <f t="shared" si="37"/>
        <v>0</v>
      </c>
      <c r="X296" s="16">
        <f t="shared" si="37"/>
        <v>0</v>
      </c>
    </row>
    <row r="297" spans="1:25" ht="36" outlineLevel="1">
      <c r="A297" s="6" t="s">
        <v>437</v>
      </c>
      <c r="B297" s="24">
        <f>B268+B270+B272+B274+B276+B283+B266+B246+B216+B285+B287+B289+B296</f>
        <v>18647</v>
      </c>
      <c r="C297" s="24">
        <f aca="true" t="shared" si="38" ref="C297:X297">C268+C270+C272+C274+C276+C283+C266+C246+C216+C285+C287+C289+C296</f>
        <v>41303.45716666666</v>
      </c>
      <c r="D297" s="24">
        <f t="shared" si="38"/>
        <v>18641</v>
      </c>
      <c r="E297" s="24">
        <f t="shared" si="38"/>
        <v>41253.45716666666</v>
      </c>
      <c r="F297" s="19" t="s">
        <v>433</v>
      </c>
      <c r="G297" s="24">
        <f t="shared" si="38"/>
        <v>0</v>
      </c>
      <c r="H297" s="24">
        <f t="shared" si="38"/>
        <v>0</v>
      </c>
      <c r="I297" s="19" t="s">
        <v>441</v>
      </c>
      <c r="J297" s="24">
        <f t="shared" si="38"/>
        <v>6</v>
      </c>
      <c r="K297" s="24">
        <f t="shared" si="38"/>
        <v>50</v>
      </c>
      <c r="L297" s="19" t="s">
        <v>441</v>
      </c>
      <c r="M297" s="19">
        <f t="shared" si="38"/>
        <v>20724</v>
      </c>
      <c r="N297" s="19">
        <f t="shared" si="38"/>
        <v>104164</v>
      </c>
      <c r="O297" s="19">
        <f t="shared" si="38"/>
        <v>44600.6099637681</v>
      </c>
      <c r="P297" s="19">
        <f t="shared" si="38"/>
        <v>99</v>
      </c>
      <c r="Q297" s="19">
        <f t="shared" si="38"/>
        <v>30143</v>
      </c>
      <c r="R297" s="19">
        <f t="shared" si="38"/>
        <v>57107.70972033333</v>
      </c>
      <c r="S297" s="19">
        <f t="shared" si="38"/>
        <v>22814.019488133334</v>
      </c>
      <c r="T297" s="19">
        <f t="shared" si="38"/>
        <v>11407.010744066667</v>
      </c>
      <c r="U297" s="19">
        <f t="shared" si="38"/>
        <v>11407.010744066667</v>
      </c>
      <c r="V297" s="19">
        <f t="shared" si="38"/>
        <v>11407.010744066667</v>
      </c>
      <c r="W297" s="19">
        <f t="shared" si="38"/>
        <v>0</v>
      </c>
      <c r="X297" s="19">
        <f t="shared" si="38"/>
        <v>72.7</v>
      </c>
      <c r="Y297" s="4">
        <f aca="true" t="shared" si="39" ref="Y297:Y302">U297*2</f>
        <v>22814.021488133334</v>
      </c>
    </row>
    <row r="298" spans="1:25" ht="18" outlineLevel="1">
      <c r="A298" s="161" t="s">
        <v>432</v>
      </c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4">
        <f t="shared" si="39"/>
        <v>0</v>
      </c>
    </row>
    <row r="299" spans="1:25" ht="12.75" customHeight="1" outlineLevel="2">
      <c r="A299" s="160">
        <v>1</v>
      </c>
      <c r="B299" s="162" t="s">
        <v>192</v>
      </c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4">
        <f t="shared" si="39"/>
        <v>0</v>
      </c>
    </row>
    <row r="300" spans="1:25" ht="18" outlineLevel="2">
      <c r="A300" s="160"/>
      <c r="B300" s="15">
        <f>D300+G300+J300</f>
        <v>128</v>
      </c>
      <c r="C300" s="16">
        <f>E300+H300+K300</f>
        <v>269.312</v>
      </c>
      <c r="D300" s="15">
        <v>128</v>
      </c>
      <c r="E300" s="8">
        <f>D300*FORECAST(D300,AA$14:AA$15,Z$14:Z$15)</f>
        <v>269.312</v>
      </c>
      <c r="F300" s="15" t="s">
        <v>433</v>
      </c>
      <c r="G300" s="15"/>
      <c r="H300" s="15"/>
      <c r="I300" s="15"/>
      <c r="J300" s="15"/>
      <c r="K300" s="15"/>
      <c r="L300" s="15"/>
      <c r="M300" s="15">
        <v>250</v>
      </c>
      <c r="N300" s="15">
        <v>480</v>
      </c>
      <c r="O300" s="8">
        <f>C300/0.92</f>
        <v>292.7304347826087</v>
      </c>
      <c r="P300" s="15">
        <v>1</v>
      </c>
      <c r="Q300" s="15">
        <v>160</v>
      </c>
      <c r="R300" s="8">
        <f>1.454*C300</f>
        <v>391.579648</v>
      </c>
      <c r="S300" s="9">
        <f>E300*1.454*0.4</f>
        <v>156.6318592</v>
      </c>
      <c r="T300" s="9">
        <f>E300*1.454*0.2</f>
        <v>78.3159296</v>
      </c>
      <c r="U300" s="9">
        <f>E300*1.454*0.2</f>
        <v>78.3159296</v>
      </c>
      <c r="V300" s="9">
        <f>E300*1.454*0.2</f>
        <v>78.3159296</v>
      </c>
      <c r="W300" s="9">
        <f>H300*1.454</f>
        <v>0</v>
      </c>
      <c r="X300" s="9">
        <f>K300*1.454</f>
        <v>0</v>
      </c>
      <c r="Y300" s="4">
        <f t="shared" si="39"/>
        <v>156.6318592</v>
      </c>
    </row>
    <row r="301" spans="1:25" ht="12.75" customHeight="1" outlineLevel="2">
      <c r="A301" s="160">
        <v>1</v>
      </c>
      <c r="B301" s="162" t="s">
        <v>741</v>
      </c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4">
        <f t="shared" si="39"/>
        <v>0</v>
      </c>
    </row>
    <row r="302" spans="1:25" ht="18" outlineLevel="2">
      <c r="A302" s="160"/>
      <c r="B302" s="15">
        <f>D302+G302+J302</f>
        <v>480</v>
      </c>
      <c r="C302" s="15">
        <f>E302+H302+K302</f>
        <v>965.6</v>
      </c>
      <c r="D302" s="15">
        <v>480</v>
      </c>
      <c r="E302" s="8">
        <f>Z15*AA15*2+80*FORECAST(80,AA$13:AA$14,Z$13:Z$14)</f>
        <v>965.6</v>
      </c>
      <c r="F302" s="15" t="s">
        <v>433</v>
      </c>
      <c r="G302" s="15"/>
      <c r="H302" s="15"/>
      <c r="I302" s="15"/>
      <c r="J302" s="15"/>
      <c r="K302" s="15"/>
      <c r="L302" s="15"/>
      <c r="M302" s="15">
        <v>200</v>
      </c>
      <c r="N302" s="15">
        <v>1800</v>
      </c>
      <c r="O302" s="8">
        <f>C302/0.92</f>
        <v>1049.5652173913043</v>
      </c>
      <c r="P302" s="15">
        <v>1</v>
      </c>
      <c r="Q302" s="15">
        <v>630</v>
      </c>
      <c r="R302" s="8">
        <f>1.454*C302</f>
        <v>1403.9824</v>
      </c>
      <c r="S302" s="9">
        <f>E302*1.454*0.4</f>
        <v>561.5929600000001</v>
      </c>
      <c r="T302" s="9">
        <f>E302*1.454*0.2</f>
        <v>280.79648000000003</v>
      </c>
      <c r="U302" s="9">
        <f>E302*1.454*0.2</f>
        <v>280.79648000000003</v>
      </c>
      <c r="V302" s="9">
        <f>E302*1.454*0.2</f>
        <v>280.79648000000003</v>
      </c>
      <c r="W302" s="9">
        <f>H302*1.454</f>
        <v>0</v>
      </c>
      <c r="X302" s="9">
        <f>K302*1.454</f>
        <v>0</v>
      </c>
      <c r="Y302" s="4">
        <f t="shared" si="39"/>
        <v>561.5929600000001</v>
      </c>
    </row>
    <row r="303" spans="1:24" s="63" customFormat="1" ht="15.75" customHeight="1">
      <c r="A303" s="165">
        <v>1</v>
      </c>
      <c r="B303" s="162" t="s">
        <v>118</v>
      </c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</row>
    <row r="304" spans="1:24" s="63" customFormat="1" ht="18" customHeight="1">
      <c r="A304" s="165"/>
      <c r="B304" s="70">
        <v>23</v>
      </c>
      <c r="C304" s="70">
        <v>161</v>
      </c>
      <c r="D304" s="70">
        <v>23</v>
      </c>
      <c r="E304" s="70">
        <v>161</v>
      </c>
      <c r="F304" s="70" t="s">
        <v>433</v>
      </c>
      <c r="G304" s="70"/>
      <c r="H304" s="70"/>
      <c r="I304" s="70"/>
      <c r="J304" s="70"/>
      <c r="K304" s="70"/>
      <c r="L304" s="70"/>
      <c r="M304" s="70">
        <v>0</v>
      </c>
      <c r="N304" s="70">
        <v>600</v>
      </c>
      <c r="O304" s="70">
        <v>169</v>
      </c>
      <c r="P304" s="70"/>
      <c r="Q304" s="70"/>
      <c r="R304" s="76">
        <v>116.9</v>
      </c>
      <c r="S304" s="70">
        <v>46.76</v>
      </c>
      <c r="T304" s="70">
        <v>23.38</v>
      </c>
      <c r="U304" s="70">
        <v>23.38</v>
      </c>
      <c r="V304" s="70">
        <v>23.38</v>
      </c>
      <c r="W304" s="76">
        <v>0</v>
      </c>
      <c r="X304" s="76">
        <v>0</v>
      </c>
    </row>
    <row r="305" spans="1:24" s="63" customFormat="1" ht="15.75" customHeight="1">
      <c r="A305" s="165">
        <v>2</v>
      </c>
      <c r="B305" s="162" t="s">
        <v>117</v>
      </c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</row>
    <row r="306" spans="1:24" s="63" customFormat="1" ht="15.75" customHeight="1">
      <c r="A306" s="165"/>
      <c r="B306" s="70">
        <v>13</v>
      </c>
      <c r="C306" s="70">
        <v>91</v>
      </c>
      <c r="D306" s="70">
        <v>13</v>
      </c>
      <c r="E306" s="70">
        <v>91</v>
      </c>
      <c r="F306" s="70" t="s">
        <v>433</v>
      </c>
      <c r="G306" s="70"/>
      <c r="H306" s="70"/>
      <c r="I306" s="70"/>
      <c r="J306" s="70"/>
      <c r="K306" s="70"/>
      <c r="L306" s="70"/>
      <c r="M306" s="70">
        <v>100</v>
      </c>
      <c r="N306" s="70">
        <v>700</v>
      </c>
      <c r="O306" s="70">
        <v>104</v>
      </c>
      <c r="P306" s="70">
        <v>1</v>
      </c>
      <c r="Q306" s="70">
        <v>160</v>
      </c>
      <c r="R306" s="76">
        <v>242.3</v>
      </c>
      <c r="S306" s="70">
        <v>96.92</v>
      </c>
      <c r="T306" s="70">
        <v>48.46</v>
      </c>
      <c r="U306" s="70">
        <v>48.46</v>
      </c>
      <c r="V306" s="70">
        <v>48.46</v>
      </c>
      <c r="W306" s="76">
        <v>0</v>
      </c>
      <c r="X306" s="76">
        <v>0</v>
      </c>
    </row>
    <row r="307" spans="1:24" s="63" customFormat="1" ht="35.25" customHeight="1">
      <c r="A307" s="6" t="s">
        <v>431</v>
      </c>
      <c r="B307" s="70">
        <f>B304+B306</f>
        <v>36</v>
      </c>
      <c r="C307" s="70">
        <f aca="true" t="shared" si="40" ref="C307:X307">C304+C306</f>
        <v>252</v>
      </c>
      <c r="D307" s="70">
        <f t="shared" si="40"/>
        <v>36</v>
      </c>
      <c r="E307" s="70">
        <f t="shared" si="40"/>
        <v>252</v>
      </c>
      <c r="F307" s="70" t="s">
        <v>433</v>
      </c>
      <c r="G307" s="70">
        <f t="shared" si="40"/>
        <v>0</v>
      </c>
      <c r="H307" s="70">
        <f t="shared" si="40"/>
        <v>0</v>
      </c>
      <c r="I307" s="70" t="s">
        <v>441</v>
      </c>
      <c r="J307" s="70">
        <f t="shared" si="40"/>
        <v>0</v>
      </c>
      <c r="K307" s="70">
        <f t="shared" si="40"/>
        <v>0</v>
      </c>
      <c r="L307" s="70" t="s">
        <v>441</v>
      </c>
      <c r="M307" s="70">
        <f t="shared" si="40"/>
        <v>100</v>
      </c>
      <c r="N307" s="70">
        <f t="shared" si="40"/>
        <v>1300</v>
      </c>
      <c r="O307" s="70">
        <f t="shared" si="40"/>
        <v>273</v>
      </c>
      <c r="P307" s="70">
        <f t="shared" si="40"/>
        <v>1</v>
      </c>
      <c r="Q307" s="70">
        <f t="shared" si="40"/>
        <v>160</v>
      </c>
      <c r="R307" s="70">
        <f t="shared" si="40"/>
        <v>359.20000000000005</v>
      </c>
      <c r="S307" s="76">
        <f t="shared" si="40"/>
        <v>143.68</v>
      </c>
      <c r="T307" s="76">
        <f t="shared" si="40"/>
        <v>71.84</v>
      </c>
      <c r="U307" s="76">
        <f t="shared" si="40"/>
        <v>71.84</v>
      </c>
      <c r="V307" s="76">
        <f t="shared" si="40"/>
        <v>71.84</v>
      </c>
      <c r="W307" s="70">
        <f t="shared" si="40"/>
        <v>0</v>
      </c>
      <c r="X307" s="70">
        <f t="shared" si="40"/>
        <v>0</v>
      </c>
    </row>
    <row r="308" spans="1:24" s="63" customFormat="1" ht="17.25" customHeight="1">
      <c r="A308" s="165">
        <v>1</v>
      </c>
      <c r="B308" s="162" t="s">
        <v>116</v>
      </c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</row>
    <row r="309" spans="1:24" s="63" customFormat="1" ht="16.5" customHeight="1">
      <c r="A309" s="165"/>
      <c r="B309" s="70">
        <v>28</v>
      </c>
      <c r="C309" s="70">
        <v>196</v>
      </c>
      <c r="D309" s="70">
        <v>28</v>
      </c>
      <c r="E309" s="70">
        <v>196</v>
      </c>
      <c r="F309" s="70" t="s">
        <v>433</v>
      </c>
      <c r="G309" s="70"/>
      <c r="H309" s="70"/>
      <c r="I309" s="70"/>
      <c r="J309" s="70"/>
      <c r="K309" s="70"/>
      <c r="L309" s="70"/>
      <c r="M309" s="70">
        <v>150</v>
      </c>
      <c r="N309" s="70">
        <v>1050</v>
      </c>
      <c r="O309" s="70">
        <v>204</v>
      </c>
      <c r="P309" s="70">
        <v>1</v>
      </c>
      <c r="Q309" s="70">
        <v>160</v>
      </c>
      <c r="R309" s="76">
        <v>319.9</v>
      </c>
      <c r="S309" s="70">
        <v>127.96</v>
      </c>
      <c r="T309" s="70">
        <v>63.98</v>
      </c>
      <c r="U309" s="70">
        <v>63.98</v>
      </c>
      <c r="V309" s="70">
        <v>63.98</v>
      </c>
      <c r="W309" s="76">
        <v>0</v>
      </c>
      <c r="X309" s="76">
        <v>0</v>
      </c>
    </row>
    <row r="310" spans="1:24" s="63" customFormat="1" ht="16.5" customHeight="1">
      <c r="A310" s="165">
        <v>1</v>
      </c>
      <c r="B310" s="162" t="s">
        <v>23</v>
      </c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</row>
    <row r="311" spans="1:24" s="63" customFormat="1" ht="15.75" customHeight="1">
      <c r="A311" s="165"/>
      <c r="B311" s="70">
        <v>14</v>
      </c>
      <c r="C311" s="70">
        <v>98</v>
      </c>
      <c r="D311" s="70">
        <v>14</v>
      </c>
      <c r="E311" s="70">
        <v>98</v>
      </c>
      <c r="F311" s="70" t="s">
        <v>433</v>
      </c>
      <c r="G311" s="70"/>
      <c r="H311" s="70"/>
      <c r="I311" s="70"/>
      <c r="J311" s="70"/>
      <c r="K311" s="70"/>
      <c r="L311" s="70"/>
      <c r="M311" s="70">
        <v>0</v>
      </c>
      <c r="N311" s="70">
        <v>100</v>
      </c>
      <c r="O311" s="70">
        <v>106</v>
      </c>
      <c r="P311" s="70"/>
      <c r="Q311" s="70"/>
      <c r="R311" s="76">
        <v>19.5</v>
      </c>
      <c r="S311" s="70">
        <v>7.8</v>
      </c>
      <c r="T311" s="70">
        <v>3.9</v>
      </c>
      <c r="U311" s="70">
        <v>3.9</v>
      </c>
      <c r="V311" s="70">
        <v>3.9</v>
      </c>
      <c r="W311" s="76">
        <v>0</v>
      </c>
      <c r="X311" s="76">
        <v>0</v>
      </c>
    </row>
    <row r="312" spans="1:24" s="63" customFormat="1" ht="17.25" customHeight="1">
      <c r="A312" s="165">
        <v>1</v>
      </c>
      <c r="B312" s="162" t="s">
        <v>115</v>
      </c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</row>
    <row r="313" spans="1:24" s="63" customFormat="1" ht="15" customHeight="1">
      <c r="A313" s="165"/>
      <c r="B313" s="70">
        <v>6</v>
      </c>
      <c r="C313" s="70">
        <v>42</v>
      </c>
      <c r="D313" s="70">
        <v>6</v>
      </c>
      <c r="E313" s="70">
        <v>42</v>
      </c>
      <c r="F313" s="70" t="s">
        <v>433</v>
      </c>
      <c r="G313" s="70"/>
      <c r="H313" s="70"/>
      <c r="I313" s="70"/>
      <c r="J313" s="70"/>
      <c r="K313" s="70"/>
      <c r="L313" s="70"/>
      <c r="M313" s="70">
        <v>0</v>
      </c>
      <c r="N313" s="70">
        <v>380</v>
      </c>
      <c r="O313" s="70">
        <v>50</v>
      </c>
      <c r="P313" s="70"/>
      <c r="Q313" s="70"/>
      <c r="R313" s="76">
        <v>74.1</v>
      </c>
      <c r="S313" s="70">
        <v>29.64</v>
      </c>
      <c r="T313" s="70">
        <v>14.82</v>
      </c>
      <c r="U313" s="70">
        <v>14.82</v>
      </c>
      <c r="V313" s="70">
        <v>14.82</v>
      </c>
      <c r="W313" s="76">
        <v>0</v>
      </c>
      <c r="X313" s="76">
        <v>0</v>
      </c>
    </row>
    <row r="314" spans="1:24" s="63" customFormat="1" ht="15" customHeight="1">
      <c r="A314" s="165">
        <v>1</v>
      </c>
      <c r="B314" s="162" t="s">
        <v>24</v>
      </c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</row>
    <row r="315" spans="1:24" s="63" customFormat="1" ht="18.75">
      <c r="A315" s="165"/>
      <c r="B315" s="70">
        <v>21</v>
      </c>
      <c r="C315" s="70">
        <v>147</v>
      </c>
      <c r="D315" s="70">
        <v>21</v>
      </c>
      <c r="E315" s="70">
        <v>147</v>
      </c>
      <c r="F315" s="70" t="s">
        <v>433</v>
      </c>
      <c r="G315" s="70"/>
      <c r="H315" s="70"/>
      <c r="I315" s="70"/>
      <c r="J315" s="70"/>
      <c r="K315" s="70"/>
      <c r="L315" s="70"/>
      <c r="M315" s="70">
        <v>0</v>
      </c>
      <c r="N315" s="70">
        <v>650</v>
      </c>
      <c r="O315" s="70">
        <v>155</v>
      </c>
      <c r="P315" s="70">
        <v>1</v>
      </c>
      <c r="Q315" s="70">
        <v>160</v>
      </c>
      <c r="R315" s="76">
        <v>213.7</v>
      </c>
      <c r="S315" s="70">
        <v>85.48</v>
      </c>
      <c r="T315" s="70">
        <v>42.74</v>
      </c>
      <c r="U315" s="70">
        <v>42.74</v>
      </c>
      <c r="V315" s="70">
        <v>42.74</v>
      </c>
      <c r="W315" s="76">
        <v>0</v>
      </c>
      <c r="X315" s="76">
        <v>0</v>
      </c>
    </row>
    <row r="316" spans="1:24" s="63" customFormat="1" ht="12.75" customHeight="1">
      <c r="A316" s="165">
        <v>2</v>
      </c>
      <c r="B316" s="162" t="s">
        <v>114</v>
      </c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</row>
    <row r="317" spans="1:24" s="63" customFormat="1" ht="18.75">
      <c r="A317" s="165"/>
      <c r="B317" s="70">
        <v>20</v>
      </c>
      <c r="C317" s="70">
        <v>140</v>
      </c>
      <c r="D317" s="70">
        <v>20</v>
      </c>
      <c r="E317" s="70">
        <v>140</v>
      </c>
      <c r="F317" s="70" t="s">
        <v>433</v>
      </c>
      <c r="G317" s="70"/>
      <c r="H317" s="70"/>
      <c r="I317" s="70"/>
      <c r="J317" s="70"/>
      <c r="K317" s="70"/>
      <c r="L317" s="70"/>
      <c r="M317" s="70">
        <v>0</v>
      </c>
      <c r="N317" s="70">
        <v>350</v>
      </c>
      <c r="O317" s="70">
        <v>148</v>
      </c>
      <c r="P317" s="70"/>
      <c r="Q317" s="70"/>
      <c r="R317" s="76">
        <v>68.2</v>
      </c>
      <c r="S317" s="70">
        <v>27.28</v>
      </c>
      <c r="T317" s="70">
        <v>13.64</v>
      </c>
      <c r="U317" s="70">
        <v>13.64</v>
      </c>
      <c r="V317" s="70">
        <v>13.64</v>
      </c>
      <c r="W317" s="76">
        <v>0</v>
      </c>
      <c r="X317" s="76">
        <v>0</v>
      </c>
    </row>
    <row r="318" spans="1:24" s="63" customFormat="1" ht="12.75" customHeight="1">
      <c r="A318" s="165">
        <v>3</v>
      </c>
      <c r="B318" s="162" t="s">
        <v>113</v>
      </c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</row>
    <row r="319" spans="1:24" s="63" customFormat="1" ht="18.75">
      <c r="A319" s="165"/>
      <c r="B319" s="70">
        <v>15</v>
      </c>
      <c r="C319" s="70">
        <v>105</v>
      </c>
      <c r="D319" s="70">
        <v>15</v>
      </c>
      <c r="E319" s="70">
        <v>105</v>
      </c>
      <c r="F319" s="70" t="s">
        <v>433</v>
      </c>
      <c r="G319" s="70"/>
      <c r="H319" s="70"/>
      <c r="I319" s="70"/>
      <c r="J319" s="70"/>
      <c r="K319" s="70"/>
      <c r="L319" s="70"/>
      <c r="M319" s="70">
        <v>0</v>
      </c>
      <c r="N319" s="70">
        <v>300</v>
      </c>
      <c r="O319" s="70">
        <v>113</v>
      </c>
      <c r="P319" s="70"/>
      <c r="Q319" s="70"/>
      <c r="R319" s="76">
        <v>58.5</v>
      </c>
      <c r="S319" s="70">
        <v>23.4</v>
      </c>
      <c r="T319" s="70">
        <v>11.7</v>
      </c>
      <c r="U319" s="70">
        <v>11.7</v>
      </c>
      <c r="V319" s="70">
        <v>11.7</v>
      </c>
      <c r="W319" s="76">
        <v>0</v>
      </c>
      <c r="X319" s="76">
        <v>0</v>
      </c>
    </row>
    <row r="320" spans="1:24" s="63" customFormat="1" ht="36">
      <c r="A320" s="6" t="s">
        <v>431</v>
      </c>
      <c r="B320" s="70">
        <f>B315+B317+B319</f>
        <v>56</v>
      </c>
      <c r="C320" s="70">
        <f aca="true" t="shared" si="41" ref="C320:X320">C315+C317+C319</f>
        <v>392</v>
      </c>
      <c r="D320" s="70">
        <f t="shared" si="41"/>
        <v>56</v>
      </c>
      <c r="E320" s="70">
        <f t="shared" si="41"/>
        <v>392</v>
      </c>
      <c r="F320" s="70" t="s">
        <v>433</v>
      </c>
      <c r="G320" s="70">
        <f t="shared" si="41"/>
        <v>0</v>
      </c>
      <c r="H320" s="70">
        <f t="shared" si="41"/>
        <v>0</v>
      </c>
      <c r="I320" s="70" t="s">
        <v>441</v>
      </c>
      <c r="J320" s="70">
        <f t="shared" si="41"/>
        <v>0</v>
      </c>
      <c r="K320" s="70">
        <f t="shared" si="41"/>
        <v>0</v>
      </c>
      <c r="L320" s="70" t="s">
        <v>441</v>
      </c>
      <c r="M320" s="70">
        <f t="shared" si="41"/>
        <v>0</v>
      </c>
      <c r="N320" s="70">
        <f t="shared" si="41"/>
        <v>1300</v>
      </c>
      <c r="O320" s="70">
        <f t="shared" si="41"/>
        <v>416</v>
      </c>
      <c r="P320" s="70">
        <f t="shared" si="41"/>
        <v>1</v>
      </c>
      <c r="Q320" s="70">
        <f t="shared" si="41"/>
        <v>160</v>
      </c>
      <c r="R320" s="70">
        <f t="shared" si="41"/>
        <v>340.4</v>
      </c>
      <c r="S320" s="76">
        <f t="shared" si="41"/>
        <v>136.16</v>
      </c>
      <c r="T320" s="76">
        <f t="shared" si="41"/>
        <v>68.08</v>
      </c>
      <c r="U320" s="76">
        <f t="shared" si="41"/>
        <v>68.08</v>
      </c>
      <c r="V320" s="76">
        <f t="shared" si="41"/>
        <v>68.08</v>
      </c>
      <c r="W320" s="70">
        <f t="shared" si="41"/>
        <v>0</v>
      </c>
      <c r="X320" s="70">
        <f t="shared" si="41"/>
        <v>0</v>
      </c>
    </row>
    <row r="321" spans="1:24" s="63" customFormat="1" ht="12.75" customHeight="1">
      <c r="A321" s="165">
        <v>1</v>
      </c>
      <c r="B321" s="162" t="s">
        <v>112</v>
      </c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</row>
    <row r="322" spans="1:24" s="63" customFormat="1" ht="18.75">
      <c r="A322" s="165"/>
      <c r="B322" s="70">
        <v>100</v>
      </c>
      <c r="C322" s="70">
        <v>700</v>
      </c>
      <c r="D322" s="70">
        <v>100</v>
      </c>
      <c r="E322" s="70">
        <v>700</v>
      </c>
      <c r="F322" s="70" t="s">
        <v>433</v>
      </c>
      <c r="G322" s="70"/>
      <c r="H322" s="70"/>
      <c r="I322" s="70"/>
      <c r="J322" s="70"/>
      <c r="K322" s="70"/>
      <c r="L322" s="70"/>
      <c r="M322" s="70">
        <v>600</v>
      </c>
      <c r="N322" s="70">
        <v>1600</v>
      </c>
      <c r="O322" s="70">
        <v>708</v>
      </c>
      <c r="P322" s="70"/>
      <c r="Q322" s="70"/>
      <c r="R322" s="76">
        <v>424.7</v>
      </c>
      <c r="S322" s="70">
        <v>169.88</v>
      </c>
      <c r="T322" s="70">
        <v>84.94</v>
      </c>
      <c r="U322" s="70">
        <v>84.94</v>
      </c>
      <c r="V322" s="70">
        <v>84.94</v>
      </c>
      <c r="W322" s="76">
        <v>0</v>
      </c>
      <c r="X322" s="76">
        <v>0</v>
      </c>
    </row>
    <row r="323" spans="1:24" s="63" customFormat="1" ht="12.75" customHeight="1">
      <c r="A323" s="165">
        <v>1</v>
      </c>
      <c r="B323" s="162" t="s">
        <v>111</v>
      </c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</row>
    <row r="324" spans="1:24" s="63" customFormat="1" ht="18.75">
      <c r="A324" s="165"/>
      <c r="B324" s="70">
        <v>36</v>
      </c>
      <c r="C324" s="70">
        <v>252</v>
      </c>
      <c r="D324" s="70">
        <v>36</v>
      </c>
      <c r="E324" s="70">
        <v>252</v>
      </c>
      <c r="F324" s="70" t="s">
        <v>433</v>
      </c>
      <c r="G324" s="70"/>
      <c r="H324" s="70"/>
      <c r="I324" s="70"/>
      <c r="J324" s="70"/>
      <c r="K324" s="70"/>
      <c r="L324" s="70"/>
      <c r="M324" s="70">
        <v>100</v>
      </c>
      <c r="N324" s="70">
        <v>1180</v>
      </c>
      <c r="O324" s="70">
        <v>260</v>
      </c>
      <c r="P324" s="70"/>
      <c r="Q324" s="70"/>
      <c r="R324" s="76">
        <v>248.8</v>
      </c>
      <c r="S324" s="70">
        <v>99.52</v>
      </c>
      <c r="T324" s="70">
        <v>49.76</v>
      </c>
      <c r="U324" s="70">
        <v>49.76</v>
      </c>
      <c r="V324" s="70">
        <v>49.76</v>
      </c>
      <c r="W324" s="76">
        <v>0</v>
      </c>
      <c r="X324" s="76">
        <v>0</v>
      </c>
    </row>
    <row r="325" spans="1:24" s="63" customFormat="1" ht="18.75" customHeight="1">
      <c r="A325" s="165">
        <v>1</v>
      </c>
      <c r="B325" s="162" t="s">
        <v>110</v>
      </c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</row>
    <row r="326" spans="1:24" s="63" customFormat="1" ht="18.75">
      <c r="A326" s="165"/>
      <c r="B326" s="70">
        <v>19</v>
      </c>
      <c r="C326" s="70">
        <v>133</v>
      </c>
      <c r="D326" s="70">
        <v>19</v>
      </c>
      <c r="E326" s="70">
        <v>133</v>
      </c>
      <c r="F326" s="70" t="s">
        <v>433</v>
      </c>
      <c r="G326" s="70"/>
      <c r="H326" s="70"/>
      <c r="I326" s="70"/>
      <c r="J326" s="70"/>
      <c r="K326" s="70"/>
      <c r="L326" s="70"/>
      <c r="M326" s="70">
        <v>0</v>
      </c>
      <c r="N326" s="70">
        <v>555</v>
      </c>
      <c r="O326" s="70">
        <v>141</v>
      </c>
      <c r="P326" s="70"/>
      <c r="Q326" s="70"/>
      <c r="R326" s="76">
        <v>108.2</v>
      </c>
      <c r="S326" s="70">
        <v>43.28</v>
      </c>
      <c r="T326" s="70">
        <v>21.64</v>
      </c>
      <c r="U326" s="70">
        <v>21.64</v>
      </c>
      <c r="V326" s="70">
        <v>21.64</v>
      </c>
      <c r="W326" s="76">
        <v>0</v>
      </c>
      <c r="X326" s="76">
        <v>0</v>
      </c>
    </row>
    <row r="327" spans="1:24" s="63" customFormat="1" ht="14.25" customHeight="1">
      <c r="A327" s="165">
        <v>1</v>
      </c>
      <c r="B327" s="162" t="s">
        <v>109</v>
      </c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</row>
    <row r="328" spans="1:24" s="63" customFormat="1" ht="18.75">
      <c r="A328" s="165"/>
      <c r="B328" s="70">
        <v>33</v>
      </c>
      <c r="C328" s="70">
        <v>231</v>
      </c>
      <c r="D328" s="70">
        <v>33</v>
      </c>
      <c r="E328" s="70">
        <v>231</v>
      </c>
      <c r="F328" s="70" t="s">
        <v>433</v>
      </c>
      <c r="G328" s="70"/>
      <c r="H328" s="70"/>
      <c r="I328" s="70"/>
      <c r="J328" s="70"/>
      <c r="K328" s="70"/>
      <c r="L328" s="70"/>
      <c r="M328" s="70">
        <v>0</v>
      </c>
      <c r="N328" s="70">
        <v>1000</v>
      </c>
      <c r="O328" s="70">
        <v>239</v>
      </c>
      <c r="P328" s="70"/>
      <c r="Q328" s="70"/>
      <c r="R328" s="76">
        <v>194.9</v>
      </c>
      <c r="S328" s="70">
        <v>77.96</v>
      </c>
      <c r="T328" s="70">
        <v>38.98</v>
      </c>
      <c r="U328" s="70">
        <v>38.98</v>
      </c>
      <c r="V328" s="70">
        <v>38.98</v>
      </c>
      <c r="W328" s="76">
        <v>0</v>
      </c>
      <c r="X328" s="76">
        <v>0</v>
      </c>
    </row>
    <row r="329" spans="1:24" s="63" customFormat="1" ht="18.75" customHeight="1">
      <c r="A329" s="165">
        <v>1</v>
      </c>
      <c r="B329" s="162" t="s">
        <v>108</v>
      </c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</row>
    <row r="330" spans="1:24" s="63" customFormat="1" ht="18.75">
      <c r="A330" s="165"/>
      <c r="B330" s="70">
        <v>19</v>
      </c>
      <c r="C330" s="70">
        <v>133</v>
      </c>
      <c r="D330" s="70">
        <v>19</v>
      </c>
      <c r="E330" s="70">
        <v>133</v>
      </c>
      <c r="F330" s="70" t="s">
        <v>433</v>
      </c>
      <c r="G330" s="70"/>
      <c r="H330" s="70"/>
      <c r="I330" s="70"/>
      <c r="J330" s="70"/>
      <c r="K330" s="70"/>
      <c r="L330" s="70"/>
      <c r="M330" s="70">
        <v>0</v>
      </c>
      <c r="N330" s="70">
        <v>700</v>
      </c>
      <c r="O330" s="70">
        <v>141</v>
      </c>
      <c r="P330" s="70"/>
      <c r="Q330" s="70"/>
      <c r="R330" s="76">
        <v>136.5</v>
      </c>
      <c r="S330" s="70">
        <v>54.6</v>
      </c>
      <c r="T330" s="70">
        <v>27.3</v>
      </c>
      <c r="U330" s="70">
        <v>27.3</v>
      </c>
      <c r="V330" s="70">
        <v>27.3</v>
      </c>
      <c r="W330" s="76">
        <v>0</v>
      </c>
      <c r="X330" s="76">
        <v>0</v>
      </c>
    </row>
    <row r="331" spans="1:24" s="63" customFormat="1" ht="18.75" customHeight="1">
      <c r="A331" s="165">
        <v>1</v>
      </c>
      <c r="B331" s="162" t="s">
        <v>107</v>
      </c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</row>
    <row r="332" spans="1:24" s="63" customFormat="1" ht="18.75">
      <c r="A332" s="165"/>
      <c r="B332" s="70">
        <v>45</v>
      </c>
      <c r="C332" s="70">
        <v>315</v>
      </c>
      <c r="D332" s="70">
        <v>45</v>
      </c>
      <c r="E332" s="70">
        <v>315</v>
      </c>
      <c r="F332" s="70" t="s">
        <v>433</v>
      </c>
      <c r="G332" s="70"/>
      <c r="H332" s="70"/>
      <c r="I332" s="70"/>
      <c r="J332" s="70"/>
      <c r="K332" s="70"/>
      <c r="L332" s="70"/>
      <c r="M332" s="70">
        <v>150</v>
      </c>
      <c r="N332" s="70">
        <v>1500</v>
      </c>
      <c r="O332" s="70">
        <v>323</v>
      </c>
      <c r="P332" s="70">
        <v>1</v>
      </c>
      <c r="Q332" s="70">
        <v>160</v>
      </c>
      <c r="R332" s="76">
        <v>407.6</v>
      </c>
      <c r="S332" s="70">
        <v>163.04</v>
      </c>
      <c r="T332" s="70">
        <v>81.52</v>
      </c>
      <c r="U332" s="70">
        <v>81.52</v>
      </c>
      <c r="V332" s="70">
        <v>81.52</v>
      </c>
      <c r="W332" s="76">
        <v>0</v>
      </c>
      <c r="X332" s="76">
        <v>0</v>
      </c>
    </row>
    <row r="333" spans="1:24" s="63" customFormat="1" ht="18.75" customHeight="1">
      <c r="A333" s="165">
        <v>1</v>
      </c>
      <c r="B333" s="162" t="s">
        <v>106</v>
      </c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</row>
    <row r="334" spans="1:24" s="63" customFormat="1" ht="18.75">
      <c r="A334" s="165"/>
      <c r="B334" s="70">
        <v>19</v>
      </c>
      <c r="C334" s="70">
        <v>133</v>
      </c>
      <c r="D334" s="70">
        <v>19</v>
      </c>
      <c r="E334" s="70">
        <v>133</v>
      </c>
      <c r="F334" s="70" t="s">
        <v>433</v>
      </c>
      <c r="G334" s="70"/>
      <c r="H334" s="70"/>
      <c r="I334" s="70"/>
      <c r="J334" s="70"/>
      <c r="K334" s="70"/>
      <c r="L334" s="70"/>
      <c r="M334" s="70">
        <v>0</v>
      </c>
      <c r="N334" s="70">
        <v>300</v>
      </c>
      <c r="O334" s="70">
        <v>141</v>
      </c>
      <c r="P334" s="70"/>
      <c r="Q334" s="70"/>
      <c r="R334" s="76">
        <v>58.5</v>
      </c>
      <c r="S334" s="70">
        <v>23.4</v>
      </c>
      <c r="T334" s="70">
        <v>11.7</v>
      </c>
      <c r="U334" s="70">
        <v>11.7</v>
      </c>
      <c r="V334" s="70">
        <v>11.7</v>
      </c>
      <c r="W334" s="76">
        <v>0</v>
      </c>
      <c r="X334" s="76">
        <v>0</v>
      </c>
    </row>
    <row r="335" spans="1:24" s="63" customFormat="1" ht="18.75" customHeight="1">
      <c r="A335" s="165">
        <v>1</v>
      </c>
      <c r="B335" s="162" t="s">
        <v>25</v>
      </c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</row>
    <row r="336" spans="1:24" s="63" customFormat="1" ht="18.75">
      <c r="A336" s="165"/>
      <c r="B336" s="70">
        <v>8</v>
      </c>
      <c r="C336" s="70">
        <v>56</v>
      </c>
      <c r="D336" s="70">
        <v>8</v>
      </c>
      <c r="E336" s="70">
        <v>56</v>
      </c>
      <c r="F336" s="70" t="s">
        <v>433</v>
      </c>
      <c r="G336" s="70"/>
      <c r="H336" s="70"/>
      <c r="I336" s="70"/>
      <c r="J336" s="70"/>
      <c r="K336" s="70"/>
      <c r="L336" s="70"/>
      <c r="M336" s="70">
        <v>0</v>
      </c>
      <c r="N336" s="70">
        <v>400</v>
      </c>
      <c r="O336" s="70">
        <v>64</v>
      </c>
      <c r="P336" s="70"/>
      <c r="Q336" s="70"/>
      <c r="R336" s="76">
        <v>77.9</v>
      </c>
      <c r="S336" s="70">
        <v>31.16</v>
      </c>
      <c r="T336" s="70">
        <v>15.58</v>
      </c>
      <c r="U336" s="70">
        <v>15.58</v>
      </c>
      <c r="V336" s="70">
        <v>15.58</v>
      </c>
      <c r="W336" s="76">
        <v>0</v>
      </c>
      <c r="X336" s="76">
        <v>0</v>
      </c>
    </row>
    <row r="337" spans="1:24" s="63" customFormat="1" ht="18.75" customHeight="1">
      <c r="A337" s="165">
        <v>1</v>
      </c>
      <c r="B337" s="162" t="s">
        <v>26</v>
      </c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</row>
    <row r="338" spans="1:24" s="63" customFormat="1" ht="18.75">
      <c r="A338" s="165"/>
      <c r="B338" s="70">
        <v>18</v>
      </c>
      <c r="C338" s="70">
        <v>126</v>
      </c>
      <c r="D338" s="70">
        <v>18</v>
      </c>
      <c r="E338" s="70">
        <v>126</v>
      </c>
      <c r="F338" s="70" t="s">
        <v>433</v>
      </c>
      <c r="G338" s="70"/>
      <c r="H338" s="70"/>
      <c r="I338" s="70"/>
      <c r="J338" s="70"/>
      <c r="K338" s="70"/>
      <c r="L338" s="70"/>
      <c r="M338" s="70">
        <v>0</v>
      </c>
      <c r="N338" s="70">
        <v>528</v>
      </c>
      <c r="O338" s="70">
        <v>134</v>
      </c>
      <c r="P338" s="70"/>
      <c r="Q338" s="70"/>
      <c r="R338" s="76">
        <v>102.9</v>
      </c>
      <c r="S338" s="70">
        <v>41.16</v>
      </c>
      <c r="T338" s="70">
        <v>20.58</v>
      </c>
      <c r="U338" s="70">
        <v>20.58</v>
      </c>
      <c r="V338" s="70">
        <v>20.58</v>
      </c>
      <c r="W338" s="76">
        <v>0</v>
      </c>
      <c r="X338" s="76">
        <v>0</v>
      </c>
    </row>
    <row r="339" spans="1:24" s="63" customFormat="1" ht="18.75" customHeight="1">
      <c r="A339" s="165">
        <v>1</v>
      </c>
      <c r="B339" s="162" t="s">
        <v>27</v>
      </c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</row>
    <row r="340" spans="1:24" s="63" customFormat="1" ht="18.75">
      <c r="A340" s="165"/>
      <c r="B340" s="70">
        <v>27</v>
      </c>
      <c r="C340" s="70">
        <v>189</v>
      </c>
      <c r="D340" s="70">
        <v>27</v>
      </c>
      <c r="E340" s="70">
        <v>189</v>
      </c>
      <c r="F340" s="70" t="s">
        <v>433</v>
      </c>
      <c r="G340" s="70"/>
      <c r="H340" s="70"/>
      <c r="I340" s="70"/>
      <c r="J340" s="70"/>
      <c r="K340" s="70"/>
      <c r="L340" s="70"/>
      <c r="M340" s="70">
        <v>0</v>
      </c>
      <c r="N340" s="70">
        <v>600</v>
      </c>
      <c r="O340" s="70">
        <v>197</v>
      </c>
      <c r="P340" s="70">
        <v>1</v>
      </c>
      <c r="Q340" s="70">
        <v>160</v>
      </c>
      <c r="R340" s="76">
        <v>203.9</v>
      </c>
      <c r="S340" s="70">
        <v>81.56</v>
      </c>
      <c r="T340" s="70">
        <v>40.78</v>
      </c>
      <c r="U340" s="70">
        <v>40.78</v>
      </c>
      <c r="V340" s="70">
        <v>40.78</v>
      </c>
      <c r="W340" s="76">
        <v>0</v>
      </c>
      <c r="X340" s="76">
        <v>0</v>
      </c>
    </row>
    <row r="341" spans="1:24" s="63" customFormat="1" ht="18.75" customHeight="1">
      <c r="A341" s="165">
        <v>1</v>
      </c>
      <c r="B341" s="162" t="s">
        <v>28</v>
      </c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</row>
    <row r="342" spans="1:24" s="63" customFormat="1" ht="18.75">
      <c r="A342" s="165"/>
      <c r="B342" s="70">
        <v>8</v>
      </c>
      <c r="C342" s="70">
        <v>56</v>
      </c>
      <c r="D342" s="70">
        <v>8</v>
      </c>
      <c r="E342" s="70">
        <v>56</v>
      </c>
      <c r="F342" s="70" t="s">
        <v>433</v>
      </c>
      <c r="G342" s="70"/>
      <c r="H342" s="70"/>
      <c r="I342" s="70"/>
      <c r="J342" s="70"/>
      <c r="K342" s="70"/>
      <c r="L342" s="70"/>
      <c r="M342" s="70">
        <v>0</v>
      </c>
      <c r="N342" s="70">
        <v>500</v>
      </c>
      <c r="O342" s="70">
        <v>64</v>
      </c>
      <c r="P342" s="70"/>
      <c r="Q342" s="70"/>
      <c r="R342" s="76">
        <v>97.5</v>
      </c>
      <c r="S342" s="76">
        <v>39</v>
      </c>
      <c r="T342" s="70">
        <v>19.5</v>
      </c>
      <c r="U342" s="70">
        <v>19.5</v>
      </c>
      <c r="V342" s="70">
        <v>19.5</v>
      </c>
      <c r="W342" s="76">
        <v>0</v>
      </c>
      <c r="X342" s="76">
        <v>0</v>
      </c>
    </row>
    <row r="343" spans="1:24" s="63" customFormat="1" ht="18.75" customHeight="1">
      <c r="A343" s="165">
        <v>1</v>
      </c>
      <c r="B343" s="162" t="s">
        <v>29</v>
      </c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</row>
    <row r="344" spans="1:24" s="63" customFormat="1" ht="18.75">
      <c r="A344" s="165"/>
      <c r="B344" s="70">
        <v>17</v>
      </c>
      <c r="C344" s="70">
        <v>119</v>
      </c>
      <c r="D344" s="70">
        <v>17</v>
      </c>
      <c r="E344" s="70">
        <v>119</v>
      </c>
      <c r="F344" s="70" t="s">
        <v>433</v>
      </c>
      <c r="G344" s="70"/>
      <c r="H344" s="70"/>
      <c r="I344" s="70"/>
      <c r="J344" s="70"/>
      <c r="K344" s="70"/>
      <c r="L344" s="70"/>
      <c r="M344" s="70">
        <v>0</v>
      </c>
      <c r="N344" s="70">
        <v>420</v>
      </c>
      <c r="O344" s="70">
        <v>127</v>
      </c>
      <c r="P344" s="70"/>
      <c r="Q344" s="70"/>
      <c r="R344" s="76">
        <v>81.9</v>
      </c>
      <c r="S344" s="70">
        <v>32.76</v>
      </c>
      <c r="T344" s="70">
        <v>16.38</v>
      </c>
      <c r="U344" s="70">
        <v>16.38</v>
      </c>
      <c r="V344" s="70">
        <v>16.38</v>
      </c>
      <c r="W344" s="76">
        <v>0</v>
      </c>
      <c r="X344" s="76">
        <v>0</v>
      </c>
    </row>
    <row r="345" spans="1:24" s="63" customFormat="1" ht="18.75" customHeight="1">
      <c r="A345" s="165">
        <v>1</v>
      </c>
      <c r="B345" s="162" t="s">
        <v>31</v>
      </c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</row>
    <row r="346" spans="1:24" s="63" customFormat="1" ht="18.75">
      <c r="A346" s="165"/>
      <c r="B346" s="70">
        <v>34</v>
      </c>
      <c r="C346" s="70">
        <v>238</v>
      </c>
      <c r="D346" s="70">
        <v>34</v>
      </c>
      <c r="E346" s="70">
        <v>238</v>
      </c>
      <c r="F346" s="70" t="s">
        <v>433</v>
      </c>
      <c r="G346" s="70"/>
      <c r="H346" s="70"/>
      <c r="I346" s="70"/>
      <c r="J346" s="70"/>
      <c r="K346" s="70"/>
      <c r="L346" s="70"/>
      <c r="M346" s="70">
        <v>0</v>
      </c>
      <c r="N346" s="70">
        <v>500</v>
      </c>
      <c r="O346" s="70">
        <v>246</v>
      </c>
      <c r="P346" s="70"/>
      <c r="Q346" s="70"/>
      <c r="R346" s="76">
        <v>97.5</v>
      </c>
      <c r="S346" s="76">
        <v>39</v>
      </c>
      <c r="T346" s="70">
        <v>19.5</v>
      </c>
      <c r="U346" s="70">
        <v>19.5</v>
      </c>
      <c r="V346" s="70">
        <v>19.5</v>
      </c>
      <c r="W346" s="76">
        <v>0</v>
      </c>
      <c r="X346" s="76">
        <v>0</v>
      </c>
    </row>
    <row r="347" spans="1:24" s="63" customFormat="1" ht="18.75" customHeight="1">
      <c r="A347" s="165">
        <v>2</v>
      </c>
      <c r="B347" s="162" t="s">
        <v>32</v>
      </c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</row>
    <row r="348" spans="1:24" s="63" customFormat="1" ht="18.75">
      <c r="A348" s="165"/>
      <c r="B348" s="70">
        <v>27</v>
      </c>
      <c r="C348" s="70">
        <v>189</v>
      </c>
      <c r="D348" s="70">
        <v>27</v>
      </c>
      <c r="E348" s="70">
        <v>189</v>
      </c>
      <c r="F348" s="70" t="s">
        <v>433</v>
      </c>
      <c r="G348" s="70"/>
      <c r="H348" s="70"/>
      <c r="I348" s="70"/>
      <c r="J348" s="70"/>
      <c r="K348" s="70"/>
      <c r="L348" s="70"/>
      <c r="M348" s="70">
        <v>0</v>
      </c>
      <c r="N348" s="70">
        <v>475</v>
      </c>
      <c r="O348" s="70">
        <v>197</v>
      </c>
      <c r="P348" s="70"/>
      <c r="Q348" s="70"/>
      <c r="R348" s="76">
        <v>92.6</v>
      </c>
      <c r="S348" s="70">
        <v>37.04</v>
      </c>
      <c r="T348" s="70">
        <v>18.52</v>
      </c>
      <c r="U348" s="70">
        <v>18.52</v>
      </c>
      <c r="V348" s="70">
        <v>18.52</v>
      </c>
      <c r="W348" s="76">
        <v>0</v>
      </c>
      <c r="X348" s="76">
        <v>0</v>
      </c>
    </row>
    <row r="349" spans="1:24" s="63" customFormat="1" ht="18.75" customHeight="1">
      <c r="A349" s="165">
        <v>3</v>
      </c>
      <c r="B349" s="162" t="s">
        <v>30</v>
      </c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</row>
    <row r="350" spans="1:24" s="63" customFormat="1" ht="18.75">
      <c r="A350" s="165"/>
      <c r="B350" s="70">
        <v>35</v>
      </c>
      <c r="C350" s="70">
        <v>245</v>
      </c>
      <c r="D350" s="70">
        <v>35</v>
      </c>
      <c r="E350" s="70">
        <v>245</v>
      </c>
      <c r="F350" s="70" t="s">
        <v>433</v>
      </c>
      <c r="G350" s="70"/>
      <c r="H350" s="70"/>
      <c r="I350" s="70"/>
      <c r="J350" s="70"/>
      <c r="K350" s="70"/>
      <c r="L350" s="70"/>
      <c r="M350" s="70">
        <v>0</v>
      </c>
      <c r="N350" s="70">
        <v>502</v>
      </c>
      <c r="O350" s="70">
        <v>253</v>
      </c>
      <c r="P350" s="70"/>
      <c r="Q350" s="70"/>
      <c r="R350" s="76">
        <v>97.9</v>
      </c>
      <c r="S350" s="70">
        <v>39.16</v>
      </c>
      <c r="T350" s="70">
        <v>19.58</v>
      </c>
      <c r="U350" s="70">
        <v>19.58</v>
      </c>
      <c r="V350" s="70">
        <v>19.58</v>
      </c>
      <c r="W350" s="76">
        <v>0</v>
      </c>
      <c r="X350" s="76">
        <v>0</v>
      </c>
    </row>
    <row r="351" spans="1:24" s="63" customFormat="1" ht="18.75" customHeight="1">
      <c r="A351" s="165">
        <v>4</v>
      </c>
      <c r="B351" s="162" t="s">
        <v>33</v>
      </c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</row>
    <row r="352" spans="1:24" s="63" customFormat="1" ht="18.75">
      <c r="A352" s="165"/>
      <c r="B352" s="70">
        <v>28</v>
      </c>
      <c r="C352" s="70">
        <v>196</v>
      </c>
      <c r="D352" s="70">
        <v>28</v>
      </c>
      <c r="E352" s="70">
        <v>196</v>
      </c>
      <c r="F352" s="70" t="s">
        <v>433</v>
      </c>
      <c r="G352" s="70"/>
      <c r="H352" s="70"/>
      <c r="I352" s="70"/>
      <c r="J352" s="70"/>
      <c r="K352" s="70"/>
      <c r="L352" s="70"/>
      <c r="M352" s="70">
        <v>0</v>
      </c>
      <c r="N352" s="70">
        <v>474</v>
      </c>
      <c r="O352" s="70">
        <v>204</v>
      </c>
      <c r="P352" s="70"/>
      <c r="Q352" s="70"/>
      <c r="R352" s="76">
        <v>92.4</v>
      </c>
      <c r="S352" s="70">
        <v>36.96</v>
      </c>
      <c r="T352" s="70">
        <v>18.48</v>
      </c>
      <c r="U352" s="70">
        <v>18.48</v>
      </c>
      <c r="V352" s="70">
        <v>18.48</v>
      </c>
      <c r="W352" s="76">
        <v>0</v>
      </c>
      <c r="X352" s="76">
        <v>0</v>
      </c>
    </row>
    <row r="353" spans="1:24" s="63" customFormat="1" ht="18.75" customHeight="1">
      <c r="A353" s="165">
        <v>5</v>
      </c>
      <c r="B353" s="162" t="s">
        <v>34</v>
      </c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</row>
    <row r="354" spans="1:24" s="63" customFormat="1" ht="18.75">
      <c r="A354" s="165"/>
      <c r="B354" s="70">
        <v>19</v>
      </c>
      <c r="C354" s="70">
        <v>133</v>
      </c>
      <c r="D354" s="70">
        <v>19</v>
      </c>
      <c r="E354" s="70">
        <v>133</v>
      </c>
      <c r="F354" s="70" t="s">
        <v>433</v>
      </c>
      <c r="G354" s="70"/>
      <c r="H354" s="70"/>
      <c r="I354" s="70"/>
      <c r="J354" s="70"/>
      <c r="K354" s="70"/>
      <c r="L354" s="70"/>
      <c r="M354" s="70">
        <v>0</v>
      </c>
      <c r="N354" s="70">
        <v>473</v>
      </c>
      <c r="O354" s="70">
        <v>141</v>
      </c>
      <c r="P354" s="70"/>
      <c r="Q354" s="70"/>
      <c r="R354" s="76">
        <v>92.2</v>
      </c>
      <c r="S354" s="70">
        <v>36.88</v>
      </c>
      <c r="T354" s="70">
        <v>18.44</v>
      </c>
      <c r="U354" s="70">
        <v>18.44</v>
      </c>
      <c r="V354" s="70">
        <v>18.44</v>
      </c>
      <c r="W354" s="76">
        <v>0</v>
      </c>
      <c r="X354" s="76">
        <v>0</v>
      </c>
    </row>
    <row r="355" spans="1:24" ht="36" outlineLevel="2">
      <c r="A355" s="6" t="s">
        <v>431</v>
      </c>
      <c r="B355" s="15">
        <f>B346+B348+B350+B352+B354</f>
        <v>143</v>
      </c>
      <c r="C355" s="15">
        <f aca="true" t="shared" si="42" ref="C355:X355">C346+C348+C350+C352+C354</f>
        <v>1001</v>
      </c>
      <c r="D355" s="15">
        <f t="shared" si="42"/>
        <v>143</v>
      </c>
      <c r="E355" s="15">
        <f t="shared" si="42"/>
        <v>1001</v>
      </c>
      <c r="F355" s="15" t="s">
        <v>433</v>
      </c>
      <c r="G355" s="15">
        <f t="shared" si="42"/>
        <v>0</v>
      </c>
      <c r="H355" s="15">
        <f t="shared" si="42"/>
        <v>0</v>
      </c>
      <c r="I355" s="15" t="s">
        <v>441</v>
      </c>
      <c r="J355" s="15">
        <f t="shared" si="42"/>
        <v>0</v>
      </c>
      <c r="K355" s="15">
        <f t="shared" si="42"/>
        <v>0</v>
      </c>
      <c r="L355" s="15" t="s">
        <v>441</v>
      </c>
      <c r="M355" s="15">
        <f t="shared" si="42"/>
        <v>0</v>
      </c>
      <c r="N355" s="15">
        <f t="shared" si="42"/>
        <v>2424</v>
      </c>
      <c r="O355" s="15">
        <f t="shared" si="42"/>
        <v>1041</v>
      </c>
      <c r="P355" s="15">
        <f t="shared" si="42"/>
        <v>0</v>
      </c>
      <c r="Q355" s="15">
        <f t="shared" si="42"/>
        <v>0</v>
      </c>
      <c r="R355" s="15">
        <f t="shared" si="42"/>
        <v>472.59999999999997</v>
      </c>
      <c r="S355" s="15">
        <f t="shared" si="42"/>
        <v>189.04</v>
      </c>
      <c r="T355" s="15">
        <f t="shared" si="42"/>
        <v>94.52</v>
      </c>
      <c r="U355" s="15">
        <f t="shared" si="42"/>
        <v>94.52</v>
      </c>
      <c r="V355" s="15">
        <f t="shared" si="42"/>
        <v>94.52</v>
      </c>
      <c r="W355" s="15">
        <f t="shared" si="42"/>
        <v>0</v>
      </c>
      <c r="X355" s="15">
        <f t="shared" si="42"/>
        <v>0</v>
      </c>
    </row>
    <row r="356" spans="1:25" ht="36" outlineLevel="1">
      <c r="A356" s="6" t="s">
        <v>438</v>
      </c>
      <c r="B356" s="6">
        <f>B300+B302+B307+B309+B311+B313+B320+B322+B324+B326+B328+B330+B332+B334+B336+B338+B340+B342+B344+B355</f>
        <v>1240</v>
      </c>
      <c r="C356" s="24">
        <f aca="true" t="shared" si="43" ref="C356:X356">C300+C302+C307+C309+C311+C313+C320+C322+C324+C326+C328+C330+C332+C334+C336+C338+C340+C342+C344+C355</f>
        <v>5658.912</v>
      </c>
      <c r="D356" s="24">
        <f t="shared" si="43"/>
        <v>1240</v>
      </c>
      <c r="E356" s="24">
        <f t="shared" si="43"/>
        <v>5658.912</v>
      </c>
      <c r="F356" s="6" t="s">
        <v>433</v>
      </c>
      <c r="G356" s="6">
        <f t="shared" si="43"/>
        <v>0</v>
      </c>
      <c r="H356" s="6">
        <f t="shared" si="43"/>
        <v>0</v>
      </c>
      <c r="I356" s="6" t="s">
        <v>441</v>
      </c>
      <c r="J356" s="6">
        <f t="shared" si="43"/>
        <v>0</v>
      </c>
      <c r="K356" s="6">
        <f t="shared" si="43"/>
        <v>0</v>
      </c>
      <c r="L356" s="6" t="s">
        <v>441</v>
      </c>
      <c r="M356" s="6">
        <f t="shared" si="43"/>
        <v>1550</v>
      </c>
      <c r="N356" s="6">
        <f t="shared" si="43"/>
        <v>18117</v>
      </c>
      <c r="O356" s="19">
        <f t="shared" si="43"/>
        <v>5971.2956521739125</v>
      </c>
      <c r="P356" s="6">
        <f t="shared" si="43"/>
        <v>7</v>
      </c>
      <c r="Q356" s="6">
        <f t="shared" si="43"/>
        <v>1590</v>
      </c>
      <c r="R356" s="19">
        <f t="shared" si="43"/>
        <v>5524.562048</v>
      </c>
      <c r="S356" s="19">
        <f t="shared" si="43"/>
        <v>2209.8248192</v>
      </c>
      <c r="T356" s="19">
        <f t="shared" si="43"/>
        <v>1104.9124096</v>
      </c>
      <c r="U356" s="19">
        <f t="shared" si="43"/>
        <v>1104.9124096</v>
      </c>
      <c r="V356" s="19">
        <f t="shared" si="43"/>
        <v>1104.9124096</v>
      </c>
      <c r="W356" s="6">
        <f t="shared" si="43"/>
        <v>0</v>
      </c>
      <c r="X356" s="6">
        <f t="shared" si="43"/>
        <v>0</v>
      </c>
      <c r="Y356" s="4">
        <f>U356*2</f>
        <v>2209.8248192</v>
      </c>
    </row>
    <row r="357" spans="1:24" s="63" customFormat="1" ht="18.75">
      <c r="A357" s="161" t="s">
        <v>439</v>
      </c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</row>
    <row r="358" spans="1:24" s="63" customFormat="1" ht="18.75" customHeight="1">
      <c r="A358" s="165">
        <v>1</v>
      </c>
      <c r="B358" s="162" t="s">
        <v>35</v>
      </c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</row>
    <row r="359" spans="1:24" s="63" customFormat="1" ht="18.75">
      <c r="A359" s="165"/>
      <c r="B359" s="70">
        <v>19</v>
      </c>
      <c r="C359" s="70">
        <v>133</v>
      </c>
      <c r="D359" s="70">
        <v>19</v>
      </c>
      <c r="E359" s="70">
        <v>133</v>
      </c>
      <c r="F359" s="70" t="s">
        <v>433</v>
      </c>
      <c r="G359" s="70"/>
      <c r="H359" s="70"/>
      <c r="I359" s="70"/>
      <c r="J359" s="70"/>
      <c r="K359" s="70"/>
      <c r="L359" s="70"/>
      <c r="M359" s="70">
        <v>100</v>
      </c>
      <c r="N359" s="70">
        <v>800</v>
      </c>
      <c r="O359" s="70">
        <v>141</v>
      </c>
      <c r="P359" s="70">
        <v>1</v>
      </c>
      <c r="Q359" s="70">
        <v>160</v>
      </c>
      <c r="R359" s="76">
        <v>261.8</v>
      </c>
      <c r="S359" s="70">
        <v>104.72</v>
      </c>
      <c r="T359" s="70">
        <v>52.36</v>
      </c>
      <c r="U359" s="70">
        <v>52.36</v>
      </c>
      <c r="V359" s="70">
        <v>52.36</v>
      </c>
      <c r="W359" s="76">
        <v>0</v>
      </c>
      <c r="X359" s="76">
        <v>0</v>
      </c>
    </row>
    <row r="360" spans="1:24" s="63" customFormat="1" ht="18.75" customHeight="1">
      <c r="A360" s="165">
        <v>1</v>
      </c>
      <c r="B360" s="162" t="s">
        <v>36</v>
      </c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</row>
    <row r="361" spans="1:24" s="63" customFormat="1" ht="18.75">
      <c r="A361" s="165"/>
      <c r="B361" s="70">
        <v>25</v>
      </c>
      <c r="C361" s="70">
        <v>175</v>
      </c>
      <c r="D361" s="70">
        <v>25</v>
      </c>
      <c r="E361" s="70">
        <v>175</v>
      </c>
      <c r="F361" s="70" t="s">
        <v>433</v>
      </c>
      <c r="G361" s="70"/>
      <c r="H361" s="70"/>
      <c r="I361" s="70"/>
      <c r="J361" s="70"/>
      <c r="K361" s="70"/>
      <c r="L361" s="70"/>
      <c r="M361" s="70">
        <v>0</v>
      </c>
      <c r="N361" s="70">
        <v>300</v>
      </c>
      <c r="O361" s="70">
        <v>183</v>
      </c>
      <c r="P361" s="70"/>
      <c r="Q361" s="70"/>
      <c r="R361" s="76">
        <v>58.5</v>
      </c>
      <c r="S361" s="70">
        <v>23.4</v>
      </c>
      <c r="T361" s="70">
        <v>11.7</v>
      </c>
      <c r="U361" s="70">
        <v>11.7</v>
      </c>
      <c r="V361" s="70">
        <v>11.7</v>
      </c>
      <c r="W361" s="76">
        <v>0</v>
      </c>
      <c r="X361" s="76">
        <v>0</v>
      </c>
    </row>
    <row r="362" spans="1:24" s="63" customFormat="1" ht="18.75" customHeight="1">
      <c r="A362" s="165">
        <v>1</v>
      </c>
      <c r="B362" s="162" t="s">
        <v>37</v>
      </c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</row>
    <row r="363" spans="1:24" s="63" customFormat="1" ht="18.75">
      <c r="A363" s="165"/>
      <c r="B363" s="70">
        <v>11</v>
      </c>
      <c r="C363" s="70">
        <v>77</v>
      </c>
      <c r="D363" s="70">
        <v>11</v>
      </c>
      <c r="E363" s="70">
        <v>77</v>
      </c>
      <c r="F363" s="70" t="s">
        <v>433</v>
      </c>
      <c r="G363" s="70"/>
      <c r="H363" s="70"/>
      <c r="I363" s="70"/>
      <c r="J363" s="70"/>
      <c r="K363" s="70"/>
      <c r="L363" s="70"/>
      <c r="M363" s="70">
        <v>0</v>
      </c>
      <c r="N363" s="70">
        <v>196</v>
      </c>
      <c r="O363" s="70">
        <v>85</v>
      </c>
      <c r="P363" s="70"/>
      <c r="Q363" s="70"/>
      <c r="R363" s="76">
        <v>38.2</v>
      </c>
      <c r="S363" s="70">
        <v>15.28</v>
      </c>
      <c r="T363" s="70">
        <v>7.64</v>
      </c>
      <c r="U363" s="70">
        <v>7.64</v>
      </c>
      <c r="V363" s="70">
        <v>7.64</v>
      </c>
      <c r="W363" s="76">
        <v>0</v>
      </c>
      <c r="X363" s="76">
        <v>0</v>
      </c>
    </row>
    <row r="364" spans="1:24" s="63" customFormat="1" ht="18.75" customHeight="1">
      <c r="A364" s="165">
        <v>2</v>
      </c>
      <c r="B364" s="162" t="s">
        <v>38</v>
      </c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</row>
    <row r="365" spans="1:24" s="63" customFormat="1" ht="18.75">
      <c r="A365" s="165"/>
      <c r="B365" s="70">
        <v>10</v>
      </c>
      <c r="C365" s="70">
        <v>70</v>
      </c>
      <c r="D365" s="70">
        <v>10</v>
      </c>
      <c r="E365" s="70">
        <v>70</v>
      </c>
      <c r="F365" s="70" t="s">
        <v>433</v>
      </c>
      <c r="G365" s="70"/>
      <c r="H365" s="70"/>
      <c r="I365" s="70"/>
      <c r="J365" s="70"/>
      <c r="K365" s="70"/>
      <c r="L365" s="70"/>
      <c r="M365" s="70">
        <v>0</v>
      </c>
      <c r="N365" s="70">
        <v>170</v>
      </c>
      <c r="O365" s="70">
        <v>78</v>
      </c>
      <c r="P365" s="70"/>
      <c r="Q365" s="70"/>
      <c r="R365" s="76">
        <v>33.1</v>
      </c>
      <c r="S365" s="70">
        <v>13.24</v>
      </c>
      <c r="T365" s="70">
        <v>6.62</v>
      </c>
      <c r="U365" s="70">
        <v>6.62</v>
      </c>
      <c r="V365" s="70">
        <v>6.62</v>
      </c>
      <c r="W365" s="76">
        <v>0</v>
      </c>
      <c r="X365" s="76">
        <v>0</v>
      </c>
    </row>
    <row r="366" spans="1:24" s="63" customFormat="1" ht="36">
      <c r="A366" s="6" t="s">
        <v>431</v>
      </c>
      <c r="B366" s="70">
        <f>B363+B365</f>
        <v>21</v>
      </c>
      <c r="C366" s="70">
        <f aca="true" t="shared" si="44" ref="C366:X366">C363+C365</f>
        <v>147</v>
      </c>
      <c r="D366" s="70">
        <f t="shared" si="44"/>
        <v>21</v>
      </c>
      <c r="E366" s="70">
        <f t="shared" si="44"/>
        <v>147</v>
      </c>
      <c r="F366" s="70" t="s">
        <v>433</v>
      </c>
      <c r="G366" s="70">
        <f t="shared" si="44"/>
        <v>0</v>
      </c>
      <c r="H366" s="70">
        <f t="shared" si="44"/>
        <v>0</v>
      </c>
      <c r="I366" s="70" t="s">
        <v>441</v>
      </c>
      <c r="J366" s="70">
        <f t="shared" si="44"/>
        <v>0</v>
      </c>
      <c r="K366" s="70">
        <f t="shared" si="44"/>
        <v>0</v>
      </c>
      <c r="L366" s="70" t="s">
        <v>441</v>
      </c>
      <c r="M366" s="70">
        <f t="shared" si="44"/>
        <v>0</v>
      </c>
      <c r="N366" s="70">
        <f t="shared" si="44"/>
        <v>366</v>
      </c>
      <c r="O366" s="70">
        <f t="shared" si="44"/>
        <v>163</v>
      </c>
      <c r="P366" s="70">
        <f t="shared" si="44"/>
        <v>0</v>
      </c>
      <c r="Q366" s="70">
        <f t="shared" si="44"/>
        <v>0</v>
      </c>
      <c r="R366" s="70">
        <f t="shared" si="44"/>
        <v>71.30000000000001</v>
      </c>
      <c r="S366" s="70">
        <f t="shared" si="44"/>
        <v>28.52</v>
      </c>
      <c r="T366" s="70">
        <f t="shared" si="44"/>
        <v>14.26</v>
      </c>
      <c r="U366" s="70">
        <f t="shared" si="44"/>
        <v>14.26</v>
      </c>
      <c r="V366" s="70">
        <f t="shared" si="44"/>
        <v>14.26</v>
      </c>
      <c r="W366" s="70">
        <f t="shared" si="44"/>
        <v>0</v>
      </c>
      <c r="X366" s="70">
        <f t="shared" si="44"/>
        <v>0</v>
      </c>
    </row>
    <row r="367" spans="1:24" s="63" customFormat="1" ht="18.75" customHeight="1">
      <c r="A367" s="165">
        <v>1</v>
      </c>
      <c r="B367" s="162" t="s">
        <v>39</v>
      </c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</row>
    <row r="368" spans="1:24" s="63" customFormat="1" ht="18.75">
      <c r="A368" s="165"/>
      <c r="B368" s="70">
        <v>12</v>
      </c>
      <c r="C368" s="70">
        <v>84</v>
      </c>
      <c r="D368" s="70">
        <v>12</v>
      </c>
      <c r="E368" s="70">
        <v>84</v>
      </c>
      <c r="F368" s="70" t="s">
        <v>433</v>
      </c>
      <c r="G368" s="70"/>
      <c r="H368" s="70"/>
      <c r="I368" s="70"/>
      <c r="J368" s="70"/>
      <c r="K368" s="70"/>
      <c r="L368" s="70"/>
      <c r="M368" s="70">
        <v>0</v>
      </c>
      <c r="N368" s="70">
        <v>520</v>
      </c>
      <c r="O368" s="70">
        <v>92</v>
      </c>
      <c r="P368" s="70"/>
      <c r="Q368" s="70"/>
      <c r="R368" s="76">
        <v>101.4</v>
      </c>
      <c r="S368" s="70">
        <v>40.56</v>
      </c>
      <c r="T368" s="70">
        <v>20.28</v>
      </c>
      <c r="U368" s="70">
        <v>20.28</v>
      </c>
      <c r="V368" s="70">
        <v>20.28</v>
      </c>
      <c r="W368" s="76">
        <v>0</v>
      </c>
      <c r="X368" s="76">
        <v>0</v>
      </c>
    </row>
    <row r="369" spans="1:24" s="63" customFormat="1" ht="18" customHeight="1">
      <c r="A369" s="166" t="s">
        <v>456</v>
      </c>
      <c r="B369" s="165">
        <f>B359+B361+B366+B368</f>
        <v>77</v>
      </c>
      <c r="C369" s="165">
        <f aca="true" t="shared" si="45" ref="C369:X369">C359+C361+C366+C368</f>
        <v>539</v>
      </c>
      <c r="D369" s="165">
        <f t="shared" si="45"/>
        <v>77</v>
      </c>
      <c r="E369" s="165">
        <f t="shared" si="45"/>
        <v>539</v>
      </c>
      <c r="F369" s="165" t="s">
        <v>433</v>
      </c>
      <c r="G369" s="165">
        <f t="shared" si="45"/>
        <v>0</v>
      </c>
      <c r="H369" s="165">
        <f t="shared" si="45"/>
        <v>0</v>
      </c>
      <c r="I369" s="165" t="s">
        <v>441</v>
      </c>
      <c r="J369" s="165">
        <f t="shared" si="45"/>
        <v>0</v>
      </c>
      <c r="K369" s="165">
        <f t="shared" si="45"/>
        <v>0</v>
      </c>
      <c r="L369" s="165" t="s">
        <v>441</v>
      </c>
      <c r="M369" s="165">
        <f t="shared" si="45"/>
        <v>100</v>
      </c>
      <c r="N369" s="165">
        <f t="shared" si="45"/>
        <v>1986</v>
      </c>
      <c r="O369" s="165">
        <f t="shared" si="45"/>
        <v>579</v>
      </c>
      <c r="P369" s="165">
        <f t="shared" si="45"/>
        <v>1</v>
      </c>
      <c r="Q369" s="165">
        <f t="shared" si="45"/>
        <v>160</v>
      </c>
      <c r="R369" s="165">
        <f t="shared" si="45"/>
        <v>493</v>
      </c>
      <c r="S369" s="165">
        <f t="shared" si="45"/>
        <v>197.20000000000002</v>
      </c>
      <c r="T369" s="165">
        <f t="shared" si="45"/>
        <v>98.60000000000001</v>
      </c>
      <c r="U369" s="165">
        <f t="shared" si="45"/>
        <v>98.60000000000001</v>
      </c>
      <c r="V369" s="165">
        <f t="shared" si="45"/>
        <v>98.60000000000001</v>
      </c>
      <c r="W369" s="165">
        <f t="shared" si="45"/>
        <v>0</v>
      </c>
      <c r="X369" s="165">
        <f t="shared" si="45"/>
        <v>0</v>
      </c>
    </row>
    <row r="370" spans="1:24" s="63" customFormat="1" ht="18" customHeight="1">
      <c r="A370" s="167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</row>
    <row r="371" spans="1:24" s="63" customFormat="1" ht="18.75">
      <c r="A371" s="161" t="s">
        <v>440</v>
      </c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</row>
    <row r="372" spans="1:24" s="63" customFormat="1" ht="18.75" customHeight="1">
      <c r="A372" s="165">
        <v>1</v>
      </c>
      <c r="B372" s="162" t="s">
        <v>93</v>
      </c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</row>
    <row r="373" spans="1:24" s="63" customFormat="1" ht="18.75">
      <c r="A373" s="165"/>
      <c r="B373" s="70">
        <v>40</v>
      </c>
      <c r="C373" s="70">
        <v>280</v>
      </c>
      <c r="D373" s="70">
        <v>40</v>
      </c>
      <c r="E373" s="70">
        <v>280</v>
      </c>
      <c r="F373" s="70" t="s">
        <v>433</v>
      </c>
      <c r="G373" s="70"/>
      <c r="H373" s="70"/>
      <c r="I373" s="70"/>
      <c r="J373" s="70"/>
      <c r="K373" s="70"/>
      <c r="L373" s="70"/>
      <c r="M373" s="70">
        <v>70</v>
      </c>
      <c r="N373" s="70">
        <v>630</v>
      </c>
      <c r="O373" s="70">
        <v>288</v>
      </c>
      <c r="P373" s="70">
        <v>1</v>
      </c>
      <c r="Q373" s="70">
        <v>160</v>
      </c>
      <c r="R373" s="76">
        <v>222.9</v>
      </c>
      <c r="S373" s="70">
        <v>89.16</v>
      </c>
      <c r="T373" s="70">
        <v>44.58</v>
      </c>
      <c r="U373" s="70">
        <v>44.58</v>
      </c>
      <c r="V373" s="70">
        <v>44.58</v>
      </c>
      <c r="W373" s="76">
        <v>0</v>
      </c>
      <c r="X373" s="76">
        <v>0</v>
      </c>
    </row>
    <row r="374" spans="1:24" s="63" customFormat="1" ht="18" customHeight="1">
      <c r="A374" s="166" t="s">
        <v>450</v>
      </c>
      <c r="B374" s="165">
        <f>B373</f>
        <v>40</v>
      </c>
      <c r="C374" s="165">
        <f aca="true" t="shared" si="46" ref="C374:X374">C373</f>
        <v>280</v>
      </c>
      <c r="D374" s="165">
        <f t="shared" si="46"/>
        <v>40</v>
      </c>
      <c r="E374" s="165">
        <f t="shared" si="46"/>
        <v>280</v>
      </c>
      <c r="F374" s="165"/>
      <c r="G374" s="165"/>
      <c r="H374" s="165"/>
      <c r="I374" s="165"/>
      <c r="J374" s="165"/>
      <c r="K374" s="165"/>
      <c r="L374" s="165"/>
      <c r="M374" s="165">
        <f t="shared" si="46"/>
        <v>70</v>
      </c>
      <c r="N374" s="165">
        <f t="shared" si="46"/>
        <v>630</v>
      </c>
      <c r="O374" s="165">
        <f t="shared" si="46"/>
        <v>288</v>
      </c>
      <c r="P374" s="165">
        <f t="shared" si="46"/>
        <v>1</v>
      </c>
      <c r="Q374" s="165">
        <f t="shared" si="46"/>
        <v>160</v>
      </c>
      <c r="R374" s="165">
        <f t="shared" si="46"/>
        <v>222.9</v>
      </c>
      <c r="S374" s="165">
        <f t="shared" si="46"/>
        <v>89.16</v>
      </c>
      <c r="T374" s="165">
        <f t="shared" si="46"/>
        <v>44.58</v>
      </c>
      <c r="U374" s="165">
        <f t="shared" si="46"/>
        <v>44.58</v>
      </c>
      <c r="V374" s="165">
        <f t="shared" si="46"/>
        <v>44.58</v>
      </c>
      <c r="W374" s="165">
        <f t="shared" si="46"/>
        <v>0</v>
      </c>
      <c r="X374" s="165">
        <f t="shared" si="46"/>
        <v>0</v>
      </c>
    </row>
    <row r="375" spans="1:24" s="63" customFormat="1" ht="18" customHeight="1">
      <c r="A375" s="167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</row>
    <row r="376" spans="1:25" ht="109.5" customHeight="1">
      <c r="A376" s="6" t="s">
        <v>732</v>
      </c>
      <c r="B376" s="24">
        <f>B297+B356+B369+B374</f>
        <v>20004</v>
      </c>
      <c r="C376" s="24">
        <f>C297+C356+C369+C374</f>
        <v>47781.36916666666</v>
      </c>
      <c r="D376" s="24">
        <f>D297+D356+D369+D374</f>
        <v>19998</v>
      </c>
      <c r="E376" s="24">
        <f>E297+E356+E369+E374</f>
        <v>47731.36916666666</v>
      </c>
      <c r="F376" s="24" t="s">
        <v>433</v>
      </c>
      <c r="G376" s="24">
        <f>G297+G356+G369+G374</f>
        <v>0</v>
      </c>
      <c r="H376" s="24">
        <f>H297+H356+H369+H374</f>
        <v>0</v>
      </c>
      <c r="I376" s="24" t="s">
        <v>441</v>
      </c>
      <c r="J376" s="24">
        <f>J297+J356+J369+J374</f>
        <v>6</v>
      </c>
      <c r="K376" s="24">
        <f>K297+K356+K369+K374</f>
        <v>50</v>
      </c>
      <c r="L376" s="24" t="s">
        <v>441</v>
      </c>
      <c r="M376" s="24">
        <f aca="true" t="shared" si="47" ref="M376:X376">M297+M356+M369+M374</f>
        <v>22444</v>
      </c>
      <c r="N376" s="24">
        <f t="shared" si="47"/>
        <v>124897</v>
      </c>
      <c r="O376" s="24">
        <f t="shared" si="47"/>
        <v>51438.905615942014</v>
      </c>
      <c r="P376" s="24">
        <f t="shared" si="47"/>
        <v>108</v>
      </c>
      <c r="Q376" s="24">
        <f t="shared" si="47"/>
        <v>32053</v>
      </c>
      <c r="R376" s="24">
        <f t="shared" si="47"/>
        <v>63348.17176833333</v>
      </c>
      <c r="S376" s="24">
        <f t="shared" si="47"/>
        <v>25310.204307333333</v>
      </c>
      <c r="T376" s="24">
        <f t="shared" si="47"/>
        <v>12655.103153666667</v>
      </c>
      <c r="U376" s="24">
        <f t="shared" si="47"/>
        <v>12655.103153666667</v>
      </c>
      <c r="V376" s="24">
        <f t="shared" si="47"/>
        <v>12655.103153666667</v>
      </c>
      <c r="W376" s="24">
        <f t="shared" si="47"/>
        <v>0</v>
      </c>
      <c r="X376" s="19">
        <f t="shared" si="47"/>
        <v>72.7</v>
      </c>
      <c r="Y376" s="4">
        <f aca="true" t="shared" si="48" ref="Y376:Y389">U376*2</f>
        <v>25310.206307333334</v>
      </c>
    </row>
    <row r="377" spans="1:25" ht="18">
      <c r="A377" s="149" t="s">
        <v>469</v>
      </c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4">
        <f t="shared" si="48"/>
        <v>0</v>
      </c>
    </row>
    <row r="378" spans="1:25" ht="18.75" outlineLevel="1">
      <c r="A378" s="13">
        <v>1</v>
      </c>
      <c r="B378" s="13">
        <v>2</v>
      </c>
      <c r="C378" s="13">
        <v>3</v>
      </c>
      <c r="D378" s="13">
        <v>4</v>
      </c>
      <c r="E378" s="13">
        <v>5</v>
      </c>
      <c r="F378" s="13">
        <v>6</v>
      </c>
      <c r="G378" s="13">
        <v>7</v>
      </c>
      <c r="H378" s="13">
        <v>8</v>
      </c>
      <c r="I378" s="13">
        <v>9</v>
      </c>
      <c r="J378" s="13">
        <v>10</v>
      </c>
      <c r="K378" s="13">
        <v>11</v>
      </c>
      <c r="L378" s="13">
        <v>12</v>
      </c>
      <c r="M378" s="13">
        <v>13</v>
      </c>
      <c r="N378" s="13">
        <v>14</v>
      </c>
      <c r="O378" s="13">
        <v>15</v>
      </c>
      <c r="P378" s="13">
        <v>16</v>
      </c>
      <c r="Q378" s="13">
        <v>17</v>
      </c>
      <c r="R378" s="13">
        <v>18</v>
      </c>
      <c r="S378" s="89">
        <v>19</v>
      </c>
      <c r="T378" s="14">
        <v>20</v>
      </c>
      <c r="U378" s="14">
        <v>21</v>
      </c>
      <c r="V378" s="14">
        <v>22</v>
      </c>
      <c r="W378" s="14">
        <v>23</v>
      </c>
      <c r="X378" s="14">
        <v>24</v>
      </c>
      <c r="Y378" s="4">
        <f t="shared" si="48"/>
        <v>42</v>
      </c>
    </row>
    <row r="379" spans="1:25" ht="12.75" customHeight="1" outlineLevel="1">
      <c r="A379" s="161" t="s">
        <v>430</v>
      </c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4">
        <f t="shared" si="48"/>
        <v>0</v>
      </c>
    </row>
    <row r="380" spans="1:25" ht="12.75" customHeight="1" outlineLevel="1">
      <c r="A380" s="160">
        <v>1</v>
      </c>
      <c r="B380" s="162" t="s">
        <v>536</v>
      </c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4">
        <f t="shared" si="48"/>
        <v>0</v>
      </c>
    </row>
    <row r="381" spans="1:25" ht="18" outlineLevel="1">
      <c r="A381" s="160"/>
      <c r="B381" s="15">
        <f>D381+G381+J381</f>
        <v>57</v>
      </c>
      <c r="C381" s="16">
        <f>E381+H381+K381</f>
        <v>138.05399999999997</v>
      </c>
      <c r="D381" s="15">
        <v>57</v>
      </c>
      <c r="E381" s="8">
        <f>D381*FORECAST(D381,AA$12:AA$13,Z$12:Z$13)</f>
        <v>138.05399999999997</v>
      </c>
      <c r="F381" s="15" t="s">
        <v>433</v>
      </c>
      <c r="G381" s="15"/>
      <c r="H381" s="15"/>
      <c r="I381" s="15"/>
      <c r="J381" s="15"/>
      <c r="K381" s="15"/>
      <c r="L381" s="15"/>
      <c r="M381" s="15">
        <f>300</f>
        <v>300</v>
      </c>
      <c r="N381" s="15">
        <f>1000</f>
        <v>1000</v>
      </c>
      <c r="O381" s="8">
        <f>C381/0.92</f>
        <v>150.05869565217387</v>
      </c>
      <c r="P381" s="15">
        <v>1</v>
      </c>
      <c r="Q381" s="15">
        <v>400</v>
      </c>
      <c r="R381" s="8">
        <f>1.454*C381</f>
        <v>200.73051599999997</v>
      </c>
      <c r="S381" s="9">
        <f>E381*1.454*0.4</f>
        <v>80.2922064</v>
      </c>
      <c r="T381" s="9">
        <f>E381*1.454*0.2</f>
        <v>40.1461032</v>
      </c>
      <c r="U381" s="9">
        <f>E381*1.454*0.2</f>
        <v>40.1461032</v>
      </c>
      <c r="V381" s="9">
        <f>E381*1.454*0.2</f>
        <v>40.1461032</v>
      </c>
      <c r="W381" s="9">
        <f>H381*1.454</f>
        <v>0</v>
      </c>
      <c r="X381" s="9">
        <f>K381*1.454</f>
        <v>0</v>
      </c>
      <c r="Y381" s="4">
        <f t="shared" si="48"/>
        <v>80.2922064</v>
      </c>
    </row>
    <row r="382" spans="1:25" ht="12.75" customHeight="1" outlineLevel="1">
      <c r="A382" s="160">
        <v>1</v>
      </c>
      <c r="B382" s="162" t="s">
        <v>537</v>
      </c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4">
        <f t="shared" si="48"/>
        <v>0</v>
      </c>
    </row>
    <row r="383" spans="1:25" ht="18" outlineLevel="1">
      <c r="A383" s="160"/>
      <c r="B383" s="15">
        <f>D383+G383+J383</f>
        <v>20</v>
      </c>
      <c r="C383" s="15">
        <f>E383+H383+K383</f>
        <v>74.6</v>
      </c>
      <c r="D383" s="15">
        <f>20</f>
        <v>20</v>
      </c>
      <c r="E383" s="8">
        <f>D383*FORECAST(D383,AA$10:AA$11,Z$10:Z$11)</f>
        <v>74.6</v>
      </c>
      <c r="F383" s="15" t="s">
        <v>433</v>
      </c>
      <c r="G383" s="15"/>
      <c r="H383" s="15"/>
      <c r="I383" s="15"/>
      <c r="J383" s="15"/>
      <c r="K383" s="15"/>
      <c r="L383" s="15"/>
      <c r="M383" s="15"/>
      <c r="N383" s="15">
        <f>500</f>
        <v>500</v>
      </c>
      <c r="O383" s="8">
        <f>C383/0.92</f>
        <v>81.08695652173913</v>
      </c>
      <c r="P383" s="15"/>
      <c r="Q383" s="15"/>
      <c r="R383" s="8">
        <f>1.454*C383</f>
        <v>108.46839999999999</v>
      </c>
      <c r="S383" s="9">
        <f>E383*1.454*0.4</f>
        <v>43.38736</v>
      </c>
      <c r="T383" s="9">
        <f>E383*1.454*0.2</f>
        <v>21.69368</v>
      </c>
      <c r="U383" s="9">
        <f>E383*1.454*0.2</f>
        <v>21.69368</v>
      </c>
      <c r="V383" s="9">
        <f>E383*1.454*0.2</f>
        <v>21.69368</v>
      </c>
      <c r="W383" s="9">
        <f>H383*1.454</f>
        <v>0</v>
      </c>
      <c r="X383" s="9">
        <f>K383*1.454</f>
        <v>0</v>
      </c>
      <c r="Y383" s="4">
        <f t="shared" si="48"/>
        <v>43.38736</v>
      </c>
    </row>
    <row r="384" spans="1:25" ht="36" customHeight="1" outlineLevel="1">
      <c r="A384" s="6" t="s">
        <v>437</v>
      </c>
      <c r="B384" s="15">
        <f>B381+B383</f>
        <v>77</v>
      </c>
      <c r="C384" s="16">
        <f>C381+C383</f>
        <v>212.65399999999997</v>
      </c>
      <c r="D384" s="15">
        <f>D381+D383</f>
        <v>77</v>
      </c>
      <c r="E384" s="16">
        <f>E381+E383</f>
        <v>212.65399999999997</v>
      </c>
      <c r="F384" s="15" t="s">
        <v>433</v>
      </c>
      <c r="G384" s="15">
        <f>G381+G383</f>
        <v>0</v>
      </c>
      <c r="H384" s="15">
        <f>H381+H383</f>
        <v>0</v>
      </c>
      <c r="I384" s="15" t="s">
        <v>441</v>
      </c>
      <c r="J384" s="15">
        <f>J381+J383</f>
        <v>0</v>
      </c>
      <c r="K384" s="15">
        <f>K381+K383</f>
        <v>0</v>
      </c>
      <c r="L384" s="15" t="s">
        <v>441</v>
      </c>
      <c r="M384" s="15">
        <f aca="true" t="shared" si="49" ref="M384:X384">M381+M383</f>
        <v>300</v>
      </c>
      <c r="N384" s="15">
        <f t="shared" si="49"/>
        <v>1500</v>
      </c>
      <c r="O384" s="16">
        <f t="shared" si="49"/>
        <v>231.145652173913</v>
      </c>
      <c r="P384" s="15">
        <f t="shared" si="49"/>
        <v>1</v>
      </c>
      <c r="Q384" s="15">
        <f t="shared" si="49"/>
        <v>400</v>
      </c>
      <c r="R384" s="16">
        <f t="shared" si="49"/>
        <v>309.19891599999994</v>
      </c>
      <c r="S384" s="16">
        <f t="shared" si="49"/>
        <v>123.6795664</v>
      </c>
      <c r="T384" s="16">
        <f t="shared" si="49"/>
        <v>61.8397832</v>
      </c>
      <c r="U384" s="16">
        <f t="shared" si="49"/>
        <v>61.8397832</v>
      </c>
      <c r="V384" s="16">
        <f t="shared" si="49"/>
        <v>61.8397832</v>
      </c>
      <c r="W384" s="16">
        <f t="shared" si="49"/>
        <v>0</v>
      </c>
      <c r="X384" s="16">
        <f t="shared" si="49"/>
        <v>0</v>
      </c>
      <c r="Y384" s="4">
        <f t="shared" si="48"/>
        <v>123.6795664</v>
      </c>
    </row>
    <row r="385" spans="1:25" ht="109.5" customHeight="1">
      <c r="A385" s="6" t="s">
        <v>732</v>
      </c>
      <c r="B385" s="6">
        <f>B384</f>
        <v>77</v>
      </c>
      <c r="C385" s="19">
        <f aca="true" t="shared" si="50" ref="C385:M385">C384</f>
        <v>212.65399999999997</v>
      </c>
      <c r="D385" s="6">
        <f t="shared" si="50"/>
        <v>77</v>
      </c>
      <c r="E385" s="19">
        <f t="shared" si="50"/>
        <v>212.65399999999997</v>
      </c>
      <c r="F385" s="6" t="s">
        <v>433</v>
      </c>
      <c r="G385" s="6">
        <f t="shared" si="50"/>
        <v>0</v>
      </c>
      <c r="H385" s="6">
        <f t="shared" si="50"/>
        <v>0</v>
      </c>
      <c r="I385" s="6" t="s">
        <v>441</v>
      </c>
      <c r="J385" s="6">
        <f t="shared" si="50"/>
        <v>0</v>
      </c>
      <c r="K385" s="6">
        <f t="shared" si="50"/>
        <v>0</v>
      </c>
      <c r="L385" s="6" t="s">
        <v>441</v>
      </c>
      <c r="M385" s="6">
        <f t="shared" si="50"/>
        <v>300</v>
      </c>
      <c r="N385" s="6">
        <f aca="true" t="shared" si="51" ref="N385:X385">N384</f>
        <v>1500</v>
      </c>
      <c r="O385" s="19">
        <f t="shared" si="51"/>
        <v>231.145652173913</v>
      </c>
      <c r="P385" s="6">
        <f t="shared" si="51"/>
        <v>1</v>
      </c>
      <c r="Q385" s="6">
        <f t="shared" si="51"/>
        <v>400</v>
      </c>
      <c r="R385" s="19">
        <f t="shared" si="51"/>
        <v>309.19891599999994</v>
      </c>
      <c r="S385" s="19">
        <f t="shared" si="51"/>
        <v>123.6795664</v>
      </c>
      <c r="T385" s="19">
        <f t="shared" si="51"/>
        <v>61.8397832</v>
      </c>
      <c r="U385" s="19">
        <f t="shared" si="51"/>
        <v>61.8397832</v>
      </c>
      <c r="V385" s="19">
        <f t="shared" si="51"/>
        <v>61.8397832</v>
      </c>
      <c r="W385" s="19">
        <f t="shared" si="51"/>
        <v>0</v>
      </c>
      <c r="X385" s="19">
        <f t="shared" si="51"/>
        <v>0</v>
      </c>
      <c r="Y385" s="4">
        <f t="shared" si="48"/>
        <v>123.6795664</v>
      </c>
    </row>
    <row r="386" spans="1:25" ht="18">
      <c r="A386" s="171" t="s">
        <v>470</v>
      </c>
      <c r="B386" s="171"/>
      <c r="C386" s="171"/>
      <c r="D386" s="171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4">
        <f t="shared" si="48"/>
        <v>0</v>
      </c>
    </row>
    <row r="387" spans="1:25" ht="18.75" outlineLevel="1">
      <c r="A387" s="13">
        <v>1</v>
      </c>
      <c r="B387" s="13">
        <v>2</v>
      </c>
      <c r="C387" s="13">
        <v>3</v>
      </c>
      <c r="D387" s="13">
        <v>4</v>
      </c>
      <c r="E387" s="13">
        <v>5</v>
      </c>
      <c r="F387" s="13">
        <v>6</v>
      </c>
      <c r="G387" s="13">
        <v>7</v>
      </c>
      <c r="H387" s="13">
        <v>8</v>
      </c>
      <c r="I387" s="13">
        <v>9</v>
      </c>
      <c r="J387" s="13">
        <v>10</v>
      </c>
      <c r="K387" s="13">
        <v>11</v>
      </c>
      <c r="L387" s="13">
        <v>12</v>
      </c>
      <c r="M387" s="13">
        <v>13</v>
      </c>
      <c r="N387" s="13">
        <v>14</v>
      </c>
      <c r="O387" s="13">
        <v>15</v>
      </c>
      <c r="P387" s="13">
        <v>16</v>
      </c>
      <c r="Q387" s="13">
        <v>17</v>
      </c>
      <c r="R387" s="13">
        <v>18</v>
      </c>
      <c r="S387" s="89">
        <v>19</v>
      </c>
      <c r="T387" s="14">
        <v>20</v>
      </c>
      <c r="U387" s="14">
        <v>21</v>
      </c>
      <c r="V387" s="14">
        <v>22</v>
      </c>
      <c r="W387" s="14">
        <v>23</v>
      </c>
      <c r="X387" s="14">
        <v>24</v>
      </c>
      <c r="Y387" s="4">
        <f t="shared" si="48"/>
        <v>42</v>
      </c>
    </row>
    <row r="388" spans="1:25" ht="18" outlineLevel="1">
      <c r="A388" s="161" t="s">
        <v>430</v>
      </c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4">
        <f t="shared" si="48"/>
        <v>0</v>
      </c>
    </row>
    <row r="389" spans="1:25" ht="12.75" customHeight="1" outlineLevel="2">
      <c r="A389" s="160">
        <v>1</v>
      </c>
      <c r="B389" s="162" t="s">
        <v>539</v>
      </c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4">
        <f t="shared" si="48"/>
        <v>0</v>
      </c>
    </row>
    <row r="390" spans="1:25" ht="18" outlineLevel="2">
      <c r="A390" s="160"/>
      <c r="B390" s="15">
        <f>D390+G390+J390</f>
        <v>56</v>
      </c>
      <c r="C390" s="16">
        <f>E390+H390+K390</f>
        <v>136.416</v>
      </c>
      <c r="D390" s="15">
        <v>56</v>
      </c>
      <c r="E390" s="8">
        <f>D390*FORECAST(D390,AA$12:AA$13,Z$12:Z$13)</f>
        <v>136.416</v>
      </c>
      <c r="F390" s="15" t="s">
        <v>433</v>
      </c>
      <c r="G390" s="15"/>
      <c r="H390" s="15"/>
      <c r="I390" s="15"/>
      <c r="J390" s="15"/>
      <c r="K390" s="15"/>
      <c r="L390" s="15"/>
      <c r="M390" s="15">
        <v>110</v>
      </c>
      <c r="N390" s="15">
        <v>800</v>
      </c>
      <c r="O390" s="8">
        <f>C390/0.92</f>
        <v>148.2782608695652</v>
      </c>
      <c r="P390" s="15">
        <v>1</v>
      </c>
      <c r="Q390" s="15">
        <v>100</v>
      </c>
      <c r="R390" s="8">
        <f>1.454*C390</f>
        <v>198.348864</v>
      </c>
      <c r="S390" s="9">
        <f>E390*1.454*0.4</f>
        <v>79.33954560000001</v>
      </c>
      <c r="T390" s="9">
        <f>E390*1.454*0.2</f>
        <v>39.669772800000004</v>
      </c>
      <c r="U390" s="9">
        <f>E390*1.454*0.2</f>
        <v>39.669772800000004</v>
      </c>
      <c r="V390" s="9">
        <f>E390*1.454*0.2</f>
        <v>39.669772800000004</v>
      </c>
      <c r="W390" s="9">
        <f>H390*1.454</f>
        <v>0</v>
      </c>
      <c r="X390" s="9">
        <f>K390*1.454</f>
        <v>0</v>
      </c>
      <c r="Y390" s="4">
        <f aca="true" t="shared" si="52" ref="Y390:Y450">U390*2</f>
        <v>79.33954560000001</v>
      </c>
    </row>
    <row r="391" spans="1:25" ht="12.75" customHeight="1" outlineLevel="2">
      <c r="A391" s="160">
        <v>1</v>
      </c>
      <c r="B391" s="162" t="s">
        <v>538</v>
      </c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4">
        <f t="shared" si="52"/>
        <v>0</v>
      </c>
    </row>
    <row r="392" spans="1:25" ht="18" outlineLevel="2">
      <c r="A392" s="160"/>
      <c r="B392" s="15">
        <f>D392+G392+J392</f>
        <v>40</v>
      </c>
      <c r="C392" s="15">
        <f>E392+H392+K392</f>
        <v>106.4</v>
      </c>
      <c r="D392" s="15">
        <v>40</v>
      </c>
      <c r="E392" s="8">
        <f>D392*FORECAST(D392,AA$12:AA$13,Z$12:Z$13)</f>
        <v>106.4</v>
      </c>
      <c r="F392" s="15" t="s">
        <v>433</v>
      </c>
      <c r="G392" s="15"/>
      <c r="H392" s="15"/>
      <c r="I392" s="15"/>
      <c r="J392" s="15"/>
      <c r="K392" s="15"/>
      <c r="L392" s="15"/>
      <c r="M392" s="15">
        <v>50</v>
      </c>
      <c r="N392" s="15">
        <v>500</v>
      </c>
      <c r="O392" s="8">
        <f>C392/0.92</f>
        <v>115.65217391304348</v>
      </c>
      <c r="P392" s="15">
        <v>0</v>
      </c>
      <c r="Q392" s="15">
        <v>0</v>
      </c>
      <c r="R392" s="8">
        <f>1.454*C392</f>
        <v>154.7056</v>
      </c>
      <c r="S392" s="9">
        <f>E392*1.454*0.4</f>
        <v>61.88224</v>
      </c>
      <c r="T392" s="9">
        <f>E392*1.454*0.2</f>
        <v>30.94112</v>
      </c>
      <c r="U392" s="9">
        <f>E392*1.454*0.2</f>
        <v>30.94112</v>
      </c>
      <c r="V392" s="9">
        <f>E392*1.454*0.2</f>
        <v>30.94112</v>
      </c>
      <c r="W392" s="9">
        <f>H392*1.454</f>
        <v>0</v>
      </c>
      <c r="X392" s="9">
        <f>K392*1.454</f>
        <v>0</v>
      </c>
      <c r="Y392" s="4">
        <f t="shared" si="52"/>
        <v>61.88224</v>
      </c>
    </row>
    <row r="393" spans="1:25" ht="36" hidden="1" outlineLevel="1">
      <c r="A393" s="6" t="s">
        <v>434</v>
      </c>
      <c r="B393" s="6">
        <f>B390+B392</f>
        <v>96</v>
      </c>
      <c r="C393" s="19">
        <f>C390+C392</f>
        <v>242.816</v>
      </c>
      <c r="D393" s="6">
        <f>D390+D392</f>
        <v>96</v>
      </c>
      <c r="E393" s="19">
        <f>E390+E392</f>
        <v>242.816</v>
      </c>
      <c r="F393" s="6" t="s">
        <v>433</v>
      </c>
      <c r="G393" s="6">
        <f>G390+G392</f>
        <v>0</v>
      </c>
      <c r="H393" s="6">
        <f>H390+H392</f>
        <v>0</v>
      </c>
      <c r="I393" s="6" t="s">
        <v>441</v>
      </c>
      <c r="J393" s="6">
        <f>J390+J392</f>
        <v>0</v>
      </c>
      <c r="K393" s="6">
        <f>K390+K392</f>
        <v>0</v>
      </c>
      <c r="L393" s="6" t="s">
        <v>441</v>
      </c>
      <c r="M393" s="6">
        <f aca="true" t="shared" si="53" ref="M393:X393">M390+M392</f>
        <v>160</v>
      </c>
      <c r="N393" s="6">
        <f t="shared" si="53"/>
        <v>1300</v>
      </c>
      <c r="O393" s="19">
        <f t="shared" si="53"/>
        <v>263.9304347826087</v>
      </c>
      <c r="P393" s="6">
        <f t="shared" si="53"/>
        <v>1</v>
      </c>
      <c r="Q393" s="6">
        <f t="shared" si="53"/>
        <v>100</v>
      </c>
      <c r="R393" s="19">
        <f t="shared" si="53"/>
        <v>353.054464</v>
      </c>
      <c r="S393" s="19">
        <f t="shared" si="53"/>
        <v>141.2217856</v>
      </c>
      <c r="T393" s="19">
        <f t="shared" si="53"/>
        <v>70.6108928</v>
      </c>
      <c r="U393" s="19">
        <f t="shared" si="53"/>
        <v>70.6108928</v>
      </c>
      <c r="V393" s="19">
        <f t="shared" si="53"/>
        <v>70.6108928</v>
      </c>
      <c r="W393" s="19">
        <f t="shared" si="53"/>
        <v>0</v>
      </c>
      <c r="X393" s="19">
        <f t="shared" si="53"/>
        <v>0</v>
      </c>
      <c r="Y393" s="4">
        <f t="shared" si="52"/>
        <v>141.2217856</v>
      </c>
    </row>
    <row r="394" spans="1:25" ht="12.75" customHeight="1" outlineLevel="2">
      <c r="A394" s="160">
        <v>1</v>
      </c>
      <c r="B394" s="162" t="s">
        <v>540</v>
      </c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4">
        <f t="shared" si="52"/>
        <v>0</v>
      </c>
    </row>
    <row r="395" spans="1:25" ht="18" outlineLevel="2">
      <c r="A395" s="160"/>
      <c r="B395" s="15">
        <f>D395+G395+J395</f>
        <v>26</v>
      </c>
      <c r="C395" s="16">
        <f>E395+H395+K395</f>
        <v>84.8575</v>
      </c>
      <c r="D395" s="15">
        <v>26</v>
      </c>
      <c r="E395" s="8">
        <f>D395*FORECAST(D395,AA$11:AA$12,Z$11:Z$12)</f>
        <v>84.8575</v>
      </c>
      <c r="F395" s="15" t="s">
        <v>433</v>
      </c>
      <c r="G395" s="15"/>
      <c r="H395" s="15"/>
      <c r="I395" s="15"/>
      <c r="J395" s="15"/>
      <c r="K395" s="15"/>
      <c r="L395" s="15"/>
      <c r="M395" s="15">
        <v>0</v>
      </c>
      <c r="N395" s="15">
        <v>300</v>
      </c>
      <c r="O395" s="8">
        <f>C395/0.92</f>
        <v>92.23641304347827</v>
      </c>
      <c r="P395" s="15">
        <v>0</v>
      </c>
      <c r="Q395" s="15">
        <v>0</v>
      </c>
      <c r="R395" s="8">
        <f>1.454*C395</f>
        <v>123.382805</v>
      </c>
      <c r="S395" s="9">
        <f>E395*1.454*0.4</f>
        <v>49.353122000000006</v>
      </c>
      <c r="T395" s="9">
        <f>E395*1.454*0.2</f>
        <v>24.676561000000003</v>
      </c>
      <c r="U395" s="9">
        <f>E395*1.454*0.2</f>
        <v>24.676561000000003</v>
      </c>
      <c r="V395" s="9">
        <f>E395*1.454*0.2</f>
        <v>24.676561000000003</v>
      </c>
      <c r="W395" s="9">
        <f>H395*1.454</f>
        <v>0</v>
      </c>
      <c r="X395" s="9">
        <f>K395*1.454</f>
        <v>0</v>
      </c>
      <c r="Y395" s="4">
        <f t="shared" si="52"/>
        <v>49.353122000000006</v>
      </c>
    </row>
    <row r="396" spans="1:25" ht="12.75" customHeight="1" outlineLevel="2">
      <c r="A396" s="170">
        <v>1</v>
      </c>
      <c r="B396" s="162" t="s">
        <v>541</v>
      </c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4">
        <f t="shared" si="52"/>
        <v>0</v>
      </c>
    </row>
    <row r="397" spans="1:25" ht="18" outlineLevel="2">
      <c r="A397" s="170"/>
      <c r="B397" s="15">
        <f>D397+G397+J397</f>
        <v>50</v>
      </c>
      <c r="C397" s="16">
        <f>E397+H397+K397</f>
        <v>111.43749999999999</v>
      </c>
      <c r="D397" s="5">
        <v>50</v>
      </c>
      <c r="E397" s="8">
        <f>D397*FORECAST(D397,AA$11:AA$12,Z$11:Z$12)</f>
        <v>111.43749999999999</v>
      </c>
      <c r="F397" s="5" t="s">
        <v>433</v>
      </c>
      <c r="G397" s="5"/>
      <c r="H397" s="5"/>
      <c r="I397" s="5"/>
      <c r="J397" s="5"/>
      <c r="K397" s="5"/>
      <c r="L397" s="5"/>
      <c r="M397" s="5">
        <v>80</v>
      </c>
      <c r="N397" s="5">
        <v>700</v>
      </c>
      <c r="O397" s="8">
        <f>C397/0.92</f>
        <v>121.12771739130433</v>
      </c>
      <c r="P397" s="5">
        <v>1</v>
      </c>
      <c r="Q397" s="5">
        <v>100</v>
      </c>
      <c r="R397" s="8">
        <f>1.454*C397</f>
        <v>162.03012499999997</v>
      </c>
      <c r="S397" s="9">
        <f>E397*1.454*0.4</f>
        <v>64.81204999999999</v>
      </c>
      <c r="T397" s="9">
        <f>E397*1.454*0.2</f>
        <v>32.40602499999999</v>
      </c>
      <c r="U397" s="9">
        <f>E397*1.454*0.2</f>
        <v>32.40602499999999</v>
      </c>
      <c r="V397" s="9">
        <f>E397*1.454*0.2</f>
        <v>32.40602499999999</v>
      </c>
      <c r="W397" s="9">
        <f>H397*1.454</f>
        <v>0</v>
      </c>
      <c r="X397" s="9">
        <f>K397*1.454</f>
        <v>0</v>
      </c>
      <c r="Y397" s="4">
        <f t="shared" si="52"/>
        <v>64.81204999999999</v>
      </c>
    </row>
    <row r="398" spans="1:25" ht="36" hidden="1" outlineLevel="1">
      <c r="A398" s="6" t="s">
        <v>435</v>
      </c>
      <c r="B398" s="7">
        <f>B395+B397</f>
        <v>76</v>
      </c>
      <c r="C398" s="10">
        <f>C395+C397</f>
        <v>196.295</v>
      </c>
      <c r="D398" s="7">
        <f>D395+D397</f>
        <v>76</v>
      </c>
      <c r="E398" s="10">
        <f>E395+E397</f>
        <v>196.295</v>
      </c>
      <c r="F398" s="7" t="s">
        <v>433</v>
      </c>
      <c r="G398" s="7">
        <f>G395+G397</f>
        <v>0</v>
      </c>
      <c r="H398" s="7">
        <f>H395+H397</f>
        <v>0</v>
      </c>
      <c r="I398" s="7" t="s">
        <v>441</v>
      </c>
      <c r="J398" s="7">
        <f>J395+J397</f>
        <v>0</v>
      </c>
      <c r="K398" s="7">
        <f>K395+K397</f>
        <v>0</v>
      </c>
      <c r="L398" s="7" t="s">
        <v>441</v>
      </c>
      <c r="M398" s="7">
        <f aca="true" t="shared" si="54" ref="M398:X398">M395+M397</f>
        <v>80</v>
      </c>
      <c r="N398" s="7">
        <f t="shared" si="54"/>
        <v>1000</v>
      </c>
      <c r="O398" s="10">
        <f t="shared" si="54"/>
        <v>213.3641304347826</v>
      </c>
      <c r="P398" s="7">
        <f t="shared" si="54"/>
        <v>1</v>
      </c>
      <c r="Q398" s="7">
        <f t="shared" si="54"/>
        <v>100</v>
      </c>
      <c r="R398" s="10">
        <f t="shared" si="54"/>
        <v>285.41292999999996</v>
      </c>
      <c r="S398" s="10">
        <f t="shared" si="54"/>
        <v>114.16517199999998</v>
      </c>
      <c r="T398" s="10">
        <f t="shared" si="54"/>
        <v>57.08258599999999</v>
      </c>
      <c r="U398" s="10">
        <f t="shared" si="54"/>
        <v>57.08258599999999</v>
      </c>
      <c r="V398" s="10">
        <f t="shared" si="54"/>
        <v>57.08258599999999</v>
      </c>
      <c r="W398" s="10">
        <f t="shared" si="54"/>
        <v>0</v>
      </c>
      <c r="X398" s="10">
        <f t="shared" si="54"/>
        <v>0</v>
      </c>
      <c r="Y398" s="4">
        <f t="shared" si="52"/>
        <v>114.16517199999998</v>
      </c>
    </row>
    <row r="399" spans="1:25" ht="12.75" customHeight="1" outlineLevel="2">
      <c r="A399" s="170">
        <v>1</v>
      </c>
      <c r="B399" s="162" t="s">
        <v>542</v>
      </c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4">
        <f t="shared" si="52"/>
        <v>0</v>
      </c>
    </row>
    <row r="400" spans="1:25" ht="18" outlineLevel="2">
      <c r="A400" s="170"/>
      <c r="B400" s="5">
        <f>D400+G400+J400</f>
        <v>24</v>
      </c>
      <c r="C400" s="5">
        <f>E400+H400+K400</f>
        <v>80.39999999999999</v>
      </c>
      <c r="D400" s="5">
        <v>24</v>
      </c>
      <c r="E400" s="8">
        <f>D400*FORECAST(D400,AA$11:AA$12,Z$11:Z$12)</f>
        <v>80.39999999999999</v>
      </c>
      <c r="F400" s="5" t="s">
        <v>433</v>
      </c>
      <c r="G400" s="5"/>
      <c r="H400" s="5"/>
      <c r="I400" s="5"/>
      <c r="J400" s="5"/>
      <c r="K400" s="5"/>
      <c r="L400" s="5"/>
      <c r="M400" s="5">
        <v>0</v>
      </c>
      <c r="N400" s="5">
        <v>300</v>
      </c>
      <c r="O400" s="8">
        <f>C400/0.92</f>
        <v>87.39130434782608</v>
      </c>
      <c r="P400" s="5">
        <v>0</v>
      </c>
      <c r="Q400" s="5">
        <v>0</v>
      </c>
      <c r="R400" s="8">
        <f>1.454*C400</f>
        <v>116.90159999999999</v>
      </c>
      <c r="S400" s="9">
        <f>E400*1.454*0.4</f>
        <v>46.760639999999995</v>
      </c>
      <c r="T400" s="9">
        <f>E400*1.454*0.2</f>
        <v>23.380319999999998</v>
      </c>
      <c r="U400" s="9">
        <f>E400*1.454*0.2</f>
        <v>23.380319999999998</v>
      </c>
      <c r="V400" s="9">
        <f>E400*1.454*0.2</f>
        <v>23.380319999999998</v>
      </c>
      <c r="W400" s="9">
        <f>H400*1.454</f>
        <v>0</v>
      </c>
      <c r="X400" s="9">
        <f>K400*1.454</f>
        <v>0</v>
      </c>
      <c r="Y400" s="4">
        <f t="shared" si="52"/>
        <v>46.760639999999995</v>
      </c>
    </row>
    <row r="401" spans="1:25" ht="12.75" customHeight="1" outlineLevel="2">
      <c r="A401" s="170">
        <v>1</v>
      </c>
      <c r="B401" s="162" t="s">
        <v>543</v>
      </c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4">
        <f t="shared" si="52"/>
        <v>0</v>
      </c>
    </row>
    <row r="402" spans="1:25" ht="18" outlineLevel="2">
      <c r="A402" s="170"/>
      <c r="B402" s="5">
        <f>D402+G402+J402</f>
        <v>48</v>
      </c>
      <c r="C402" s="8">
        <f>E402+H402+K402</f>
        <v>122.304</v>
      </c>
      <c r="D402" s="5">
        <v>48</v>
      </c>
      <c r="E402" s="8">
        <f>D402*FORECAST(D402,AA$12:AA$13,Z$12:Z$13)</f>
        <v>122.304</v>
      </c>
      <c r="F402" s="5" t="s">
        <v>433</v>
      </c>
      <c r="G402" s="5"/>
      <c r="H402" s="5"/>
      <c r="I402" s="5"/>
      <c r="J402" s="5"/>
      <c r="K402" s="5"/>
      <c r="L402" s="5"/>
      <c r="M402" s="5">
        <v>60</v>
      </c>
      <c r="N402" s="5">
        <v>600</v>
      </c>
      <c r="O402" s="8">
        <f>C402/0.92</f>
        <v>132.9391304347826</v>
      </c>
      <c r="P402" s="5">
        <v>1</v>
      </c>
      <c r="Q402" s="5">
        <v>100</v>
      </c>
      <c r="R402" s="8">
        <f>1.454*C402</f>
        <v>177.830016</v>
      </c>
      <c r="S402" s="9">
        <f>E402*1.454*0.4</f>
        <v>71.13200640000001</v>
      </c>
      <c r="T402" s="9">
        <f>E402*1.454*0.2</f>
        <v>35.566003200000004</v>
      </c>
      <c r="U402" s="9">
        <f>E402*1.454*0.2</f>
        <v>35.566003200000004</v>
      </c>
      <c r="V402" s="9">
        <f>E402*1.454*0.2</f>
        <v>35.566003200000004</v>
      </c>
      <c r="W402" s="9">
        <f>H402*1.454</f>
        <v>0</v>
      </c>
      <c r="X402" s="9">
        <f>K402*1.454</f>
        <v>0</v>
      </c>
      <c r="Y402" s="4">
        <f t="shared" si="52"/>
        <v>71.13200640000001</v>
      </c>
    </row>
    <row r="403" spans="1:25" ht="12.75" customHeight="1" outlineLevel="2">
      <c r="A403" s="170">
        <v>1</v>
      </c>
      <c r="B403" s="162" t="s">
        <v>544</v>
      </c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4">
        <f t="shared" si="52"/>
        <v>0</v>
      </c>
    </row>
    <row r="404" spans="1:25" ht="18" outlineLevel="2">
      <c r="A404" s="170"/>
      <c r="B404" s="5">
        <f>D404+G404+J404</f>
        <v>120</v>
      </c>
      <c r="C404" s="5">
        <f>E404+H404+K404</f>
        <v>254.4</v>
      </c>
      <c r="D404" s="5">
        <v>120</v>
      </c>
      <c r="E404" s="8">
        <f>D404*FORECAST(D404,AA$14:AA$15,Z$14:Z$15)</f>
        <v>254.4</v>
      </c>
      <c r="F404" s="5" t="s">
        <v>433</v>
      </c>
      <c r="G404" s="5"/>
      <c r="H404" s="5"/>
      <c r="I404" s="5"/>
      <c r="J404" s="5"/>
      <c r="K404" s="5"/>
      <c r="L404" s="5"/>
      <c r="M404" s="5">
        <v>120</v>
      </c>
      <c r="N404" s="5">
        <v>2000</v>
      </c>
      <c r="O404" s="8">
        <f>C404/0.92</f>
        <v>276.52173913043475</v>
      </c>
      <c r="P404" s="5">
        <v>1</v>
      </c>
      <c r="Q404" s="5">
        <v>250</v>
      </c>
      <c r="R404" s="8">
        <f>1.454*C404</f>
        <v>369.8976</v>
      </c>
      <c r="S404" s="9">
        <f>E404*1.454*0.4</f>
        <v>147.95904000000002</v>
      </c>
      <c r="T404" s="9">
        <f>E404*1.454*0.2</f>
        <v>73.97952000000001</v>
      </c>
      <c r="U404" s="9">
        <f>E404*1.454*0.2</f>
        <v>73.97952000000001</v>
      </c>
      <c r="V404" s="9">
        <f>E404*1.454*0.2</f>
        <v>73.97952000000001</v>
      </c>
      <c r="W404" s="9">
        <f>H404*1.454</f>
        <v>0</v>
      </c>
      <c r="X404" s="9">
        <f>K404*1.454</f>
        <v>0</v>
      </c>
      <c r="Y404" s="4">
        <f t="shared" si="52"/>
        <v>147.95904000000002</v>
      </c>
    </row>
    <row r="405" spans="1:25" ht="36" hidden="1" outlineLevel="1">
      <c r="A405" s="6" t="s">
        <v>436</v>
      </c>
      <c r="B405" s="7">
        <f>B400+B402+B404</f>
        <v>192</v>
      </c>
      <c r="C405" s="10">
        <f>C400+C402+C404</f>
        <v>457.10400000000004</v>
      </c>
      <c r="D405" s="7">
        <f>D400+D402+D404</f>
        <v>192</v>
      </c>
      <c r="E405" s="10">
        <f>E400+E402+E404</f>
        <v>457.10400000000004</v>
      </c>
      <c r="F405" s="7" t="s">
        <v>433</v>
      </c>
      <c r="G405" s="7">
        <f>G400+G402+G404</f>
        <v>0</v>
      </c>
      <c r="H405" s="7">
        <f>H400+H402+H404</f>
        <v>0</v>
      </c>
      <c r="I405" s="7" t="s">
        <v>441</v>
      </c>
      <c r="J405" s="7">
        <f>J400+J402+J404</f>
        <v>0</v>
      </c>
      <c r="K405" s="7">
        <f>K400+K402+K404</f>
        <v>0</v>
      </c>
      <c r="L405" s="7" t="s">
        <v>441</v>
      </c>
      <c r="M405" s="7">
        <f aca="true" t="shared" si="55" ref="M405:X405">M400+M402+M404</f>
        <v>180</v>
      </c>
      <c r="N405" s="7">
        <f t="shared" si="55"/>
        <v>2900</v>
      </c>
      <c r="O405" s="10">
        <f t="shared" si="55"/>
        <v>496.85217391304343</v>
      </c>
      <c r="P405" s="7">
        <f t="shared" si="55"/>
        <v>2</v>
      </c>
      <c r="Q405" s="7">
        <f t="shared" si="55"/>
        <v>350</v>
      </c>
      <c r="R405" s="10">
        <f t="shared" si="55"/>
        <v>664.629216</v>
      </c>
      <c r="S405" s="10">
        <f t="shared" si="55"/>
        <v>265.8516864</v>
      </c>
      <c r="T405" s="10">
        <f t="shared" si="55"/>
        <v>132.9258432</v>
      </c>
      <c r="U405" s="10">
        <f t="shared" si="55"/>
        <v>132.9258432</v>
      </c>
      <c r="V405" s="10">
        <f t="shared" si="55"/>
        <v>132.9258432</v>
      </c>
      <c r="W405" s="10">
        <f t="shared" si="55"/>
        <v>0</v>
      </c>
      <c r="X405" s="10">
        <f t="shared" si="55"/>
        <v>0</v>
      </c>
      <c r="Y405" s="4">
        <f t="shared" si="52"/>
        <v>265.8516864</v>
      </c>
    </row>
    <row r="406" spans="1:25" ht="12.75" customHeight="1" outlineLevel="2">
      <c r="A406" s="170">
        <v>1</v>
      </c>
      <c r="B406" s="162" t="s">
        <v>545</v>
      </c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4">
        <f t="shared" si="52"/>
        <v>0</v>
      </c>
    </row>
    <row r="407" spans="1:25" ht="18" outlineLevel="2">
      <c r="A407" s="170"/>
      <c r="B407" s="5">
        <f>D407+G407+J407</f>
        <v>38</v>
      </c>
      <c r="C407" s="8">
        <f>E407+H407+K407</f>
        <v>104.35749999999999</v>
      </c>
      <c r="D407" s="5">
        <v>38</v>
      </c>
      <c r="E407" s="8">
        <f>D407*FORECAST(D407,AA$11:AA$12,Z$11:Z$12)</f>
        <v>104.35749999999999</v>
      </c>
      <c r="F407" s="5" t="s">
        <v>433</v>
      </c>
      <c r="G407" s="5"/>
      <c r="H407" s="5"/>
      <c r="I407" s="5"/>
      <c r="J407" s="5"/>
      <c r="K407" s="5"/>
      <c r="L407" s="5"/>
      <c r="M407" s="5">
        <v>100</v>
      </c>
      <c r="N407" s="5">
        <v>590</v>
      </c>
      <c r="O407" s="8">
        <f>C407/0.92</f>
        <v>113.43206521739128</v>
      </c>
      <c r="P407" s="5">
        <v>1</v>
      </c>
      <c r="Q407" s="5">
        <v>100</v>
      </c>
      <c r="R407" s="8">
        <f>1.454*C407</f>
        <v>151.73580499999997</v>
      </c>
      <c r="S407" s="9">
        <f>E407*1.454*0.4</f>
        <v>60.69432199999999</v>
      </c>
      <c r="T407" s="9">
        <f>E407*1.454*0.2</f>
        <v>30.347160999999996</v>
      </c>
      <c r="U407" s="9">
        <f>E407*1.454*0.2</f>
        <v>30.347160999999996</v>
      </c>
      <c r="V407" s="9">
        <f>E407*1.454*0.2</f>
        <v>30.347160999999996</v>
      </c>
      <c r="W407" s="9">
        <f>H407*1.454</f>
        <v>0</v>
      </c>
      <c r="X407" s="9">
        <f>K407*1.454</f>
        <v>0</v>
      </c>
      <c r="Y407" s="4">
        <f t="shared" si="52"/>
        <v>60.69432199999999</v>
      </c>
    </row>
    <row r="408" spans="1:25" ht="12.75" customHeight="1" outlineLevel="2">
      <c r="A408" s="170">
        <v>1</v>
      </c>
      <c r="B408" s="162" t="s">
        <v>546</v>
      </c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4">
        <f t="shared" si="52"/>
        <v>0</v>
      </c>
    </row>
    <row r="409" spans="1:25" ht="18" outlineLevel="2">
      <c r="A409" s="170"/>
      <c r="B409" s="5">
        <f>D409+G409+J409</f>
        <v>52</v>
      </c>
      <c r="C409" s="8">
        <f>E409+H409+K409</f>
        <v>129.584</v>
      </c>
      <c r="D409" s="5">
        <v>52</v>
      </c>
      <c r="E409" s="8">
        <f>D409*FORECAST(D409,AA$12:AA$13,Z$12:Z$13)</f>
        <v>129.584</v>
      </c>
      <c r="F409" s="5" t="s">
        <v>433</v>
      </c>
      <c r="G409" s="5"/>
      <c r="H409" s="5"/>
      <c r="I409" s="5"/>
      <c r="J409" s="5"/>
      <c r="K409" s="5"/>
      <c r="L409" s="5"/>
      <c r="M409" s="5">
        <v>120</v>
      </c>
      <c r="N409" s="5">
        <v>750</v>
      </c>
      <c r="O409" s="8">
        <f>C409/0.92</f>
        <v>140.8521739130435</v>
      </c>
      <c r="P409" s="5">
        <v>1</v>
      </c>
      <c r="Q409" s="5">
        <v>100</v>
      </c>
      <c r="R409" s="8">
        <f>1.454*C409</f>
        <v>188.415136</v>
      </c>
      <c r="S409" s="9">
        <f>E409*1.454*0.4</f>
        <v>75.3660544</v>
      </c>
      <c r="T409" s="9">
        <f>E409*1.454*0.2</f>
        <v>37.6830272</v>
      </c>
      <c r="U409" s="9">
        <f>E409*1.454*0.2</f>
        <v>37.6830272</v>
      </c>
      <c r="V409" s="9">
        <f>E409*1.454*0.2</f>
        <v>37.6830272</v>
      </c>
      <c r="W409" s="9">
        <f>H409*1.454</f>
        <v>0</v>
      </c>
      <c r="X409" s="9">
        <f>K409*1.454</f>
        <v>0</v>
      </c>
      <c r="Y409" s="4">
        <f t="shared" si="52"/>
        <v>75.3660544</v>
      </c>
    </row>
    <row r="410" spans="1:25" ht="36" outlineLevel="1">
      <c r="A410" s="6" t="s">
        <v>437</v>
      </c>
      <c r="B410" s="7">
        <f>B407+B409+B405+B398+B393</f>
        <v>454</v>
      </c>
      <c r="C410" s="10">
        <f aca="true" t="shared" si="56" ref="C410:X410">C407+C409+C405+C398+C393</f>
        <v>1130.1565</v>
      </c>
      <c r="D410" s="7">
        <f t="shared" si="56"/>
        <v>454</v>
      </c>
      <c r="E410" s="10">
        <f t="shared" si="56"/>
        <v>1130.1565</v>
      </c>
      <c r="F410" s="7" t="s">
        <v>433</v>
      </c>
      <c r="G410" s="7">
        <f t="shared" si="56"/>
        <v>0</v>
      </c>
      <c r="H410" s="7">
        <f t="shared" si="56"/>
        <v>0</v>
      </c>
      <c r="I410" s="7" t="s">
        <v>698</v>
      </c>
      <c r="J410" s="7">
        <f t="shared" si="56"/>
        <v>0</v>
      </c>
      <c r="K410" s="7">
        <f t="shared" si="56"/>
        <v>0</v>
      </c>
      <c r="L410" s="7" t="s">
        <v>698</v>
      </c>
      <c r="M410" s="7">
        <f t="shared" si="56"/>
        <v>640</v>
      </c>
      <c r="N410" s="7">
        <f t="shared" si="56"/>
        <v>6540</v>
      </c>
      <c r="O410" s="7">
        <f t="shared" si="56"/>
        <v>1228.4309782608696</v>
      </c>
      <c r="P410" s="7">
        <f t="shared" si="56"/>
        <v>6</v>
      </c>
      <c r="Q410" s="7">
        <f t="shared" si="56"/>
        <v>750</v>
      </c>
      <c r="R410" s="58">
        <f t="shared" si="56"/>
        <v>1643.2475510000002</v>
      </c>
      <c r="S410" s="58">
        <f t="shared" si="56"/>
        <v>657.2990204</v>
      </c>
      <c r="T410" s="58">
        <f t="shared" si="56"/>
        <v>328.6495102</v>
      </c>
      <c r="U410" s="58">
        <f t="shared" si="56"/>
        <v>328.6495102</v>
      </c>
      <c r="V410" s="58">
        <f t="shared" si="56"/>
        <v>328.6495102</v>
      </c>
      <c r="W410" s="7">
        <f t="shared" si="56"/>
        <v>0</v>
      </c>
      <c r="X410" s="7">
        <f t="shared" si="56"/>
        <v>0</v>
      </c>
      <c r="Y410" s="4">
        <f t="shared" si="52"/>
        <v>657.2990204</v>
      </c>
    </row>
    <row r="411" spans="1:25" ht="18" outlineLevel="1">
      <c r="A411" s="161" t="s">
        <v>432</v>
      </c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4">
        <f t="shared" si="52"/>
        <v>0</v>
      </c>
    </row>
    <row r="412" spans="1:25" ht="12.75" customHeight="1" outlineLevel="2">
      <c r="A412" s="170">
        <v>1</v>
      </c>
      <c r="B412" s="162" t="s">
        <v>547</v>
      </c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4">
        <f t="shared" si="52"/>
        <v>0</v>
      </c>
    </row>
    <row r="413" spans="1:25" ht="18" outlineLevel="2">
      <c r="A413" s="170"/>
      <c r="B413" s="5">
        <f>D413+G413+J413</f>
        <v>24</v>
      </c>
      <c r="C413" s="5">
        <f>E413+H413+K413</f>
        <v>80.39999999999999</v>
      </c>
      <c r="D413" s="5">
        <v>24</v>
      </c>
      <c r="E413" s="8">
        <f>D413*FORECAST(D413,AA$11:AA$12,Z$11:Z$12)</f>
        <v>80.39999999999999</v>
      </c>
      <c r="F413" s="5" t="s">
        <v>433</v>
      </c>
      <c r="G413" s="5"/>
      <c r="H413" s="5"/>
      <c r="I413" s="5"/>
      <c r="J413" s="5"/>
      <c r="K413" s="5"/>
      <c r="L413" s="5"/>
      <c r="M413" s="5">
        <v>0</v>
      </c>
      <c r="N413" s="5">
        <v>300</v>
      </c>
      <c r="O413" s="8">
        <f>C413/0.92</f>
        <v>87.39130434782608</v>
      </c>
      <c r="P413" s="5">
        <v>1</v>
      </c>
      <c r="Q413" s="5">
        <v>100</v>
      </c>
      <c r="R413" s="8">
        <f>1.454*C413</f>
        <v>116.90159999999999</v>
      </c>
      <c r="S413" s="9">
        <f>E413*1.454*0.4</f>
        <v>46.760639999999995</v>
      </c>
      <c r="T413" s="9">
        <f>E413*1.454*0.2</f>
        <v>23.380319999999998</v>
      </c>
      <c r="U413" s="9">
        <f>E413*1.454*0.2</f>
        <v>23.380319999999998</v>
      </c>
      <c r="V413" s="9">
        <f>E413*1.454*0.2</f>
        <v>23.380319999999998</v>
      </c>
      <c r="W413" s="9">
        <f>H413*1.454</f>
        <v>0</v>
      </c>
      <c r="X413" s="9">
        <f>K413*1.454</f>
        <v>0</v>
      </c>
      <c r="Y413" s="4">
        <f t="shared" si="52"/>
        <v>46.760639999999995</v>
      </c>
    </row>
    <row r="414" spans="1:25" ht="36" outlineLevel="1">
      <c r="A414" s="6" t="s">
        <v>438</v>
      </c>
      <c r="B414" s="7">
        <f>B413</f>
        <v>24</v>
      </c>
      <c r="C414" s="7">
        <f>C413</f>
        <v>80.39999999999999</v>
      </c>
      <c r="D414" s="7">
        <f>D413</f>
        <v>24</v>
      </c>
      <c r="E414" s="7">
        <f>E413</f>
        <v>80.39999999999999</v>
      </c>
      <c r="F414" s="7" t="s">
        <v>433</v>
      </c>
      <c r="G414" s="7">
        <f>G413</f>
        <v>0</v>
      </c>
      <c r="H414" s="7">
        <f>H413</f>
        <v>0</v>
      </c>
      <c r="I414" s="7" t="s">
        <v>441</v>
      </c>
      <c r="J414" s="7">
        <f>J413</f>
        <v>0</v>
      </c>
      <c r="K414" s="7">
        <f>K413</f>
        <v>0</v>
      </c>
      <c r="L414" s="7" t="s">
        <v>441</v>
      </c>
      <c r="M414" s="7">
        <f aca="true" t="shared" si="57" ref="M414:X414">M413</f>
        <v>0</v>
      </c>
      <c r="N414" s="7">
        <f t="shared" si="57"/>
        <v>300</v>
      </c>
      <c r="O414" s="10">
        <f t="shared" si="57"/>
        <v>87.39130434782608</v>
      </c>
      <c r="P414" s="7">
        <f t="shared" si="57"/>
        <v>1</v>
      </c>
      <c r="Q414" s="7">
        <f t="shared" si="57"/>
        <v>100</v>
      </c>
      <c r="R414" s="10">
        <f t="shared" si="57"/>
        <v>116.90159999999999</v>
      </c>
      <c r="S414" s="10">
        <f t="shared" si="57"/>
        <v>46.760639999999995</v>
      </c>
      <c r="T414" s="10">
        <f t="shared" si="57"/>
        <v>23.380319999999998</v>
      </c>
      <c r="U414" s="10">
        <f t="shared" si="57"/>
        <v>23.380319999999998</v>
      </c>
      <c r="V414" s="10">
        <f t="shared" si="57"/>
        <v>23.380319999999998</v>
      </c>
      <c r="W414" s="10">
        <f t="shared" si="57"/>
        <v>0</v>
      </c>
      <c r="X414" s="10">
        <f t="shared" si="57"/>
        <v>0</v>
      </c>
      <c r="Y414" s="4">
        <f t="shared" si="52"/>
        <v>46.760639999999995</v>
      </c>
    </row>
    <row r="415" spans="1:25" ht="18" outlineLevel="1">
      <c r="A415" s="146" t="s">
        <v>439</v>
      </c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4">
        <f t="shared" si="52"/>
        <v>0</v>
      </c>
    </row>
    <row r="416" spans="1:25" ht="12.75" customHeight="1" outlineLevel="2">
      <c r="A416" s="170">
        <v>1</v>
      </c>
      <c r="B416" s="162" t="s">
        <v>548</v>
      </c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4">
        <f t="shared" si="52"/>
        <v>0</v>
      </c>
    </row>
    <row r="417" spans="1:25" ht="18" outlineLevel="2">
      <c r="A417" s="170"/>
      <c r="B417" s="5">
        <f>D417+G417+J417</f>
        <v>48</v>
      </c>
      <c r="C417" s="8">
        <f>E417+H417+K417</f>
        <v>122.304</v>
      </c>
      <c r="D417" s="5">
        <v>48</v>
      </c>
      <c r="E417" s="8">
        <f>D417*FORECAST(D417,AA$12:AA$13,Z$12:Z$13)</f>
        <v>122.304</v>
      </c>
      <c r="F417" s="5" t="s">
        <v>433</v>
      </c>
      <c r="G417" s="5"/>
      <c r="H417" s="5"/>
      <c r="I417" s="5"/>
      <c r="J417" s="5"/>
      <c r="K417" s="5"/>
      <c r="L417" s="5"/>
      <c r="M417" s="5">
        <v>60</v>
      </c>
      <c r="N417" s="5">
        <v>600</v>
      </c>
      <c r="O417" s="8">
        <f>C417/0.92</f>
        <v>132.9391304347826</v>
      </c>
      <c r="P417" s="5">
        <v>1</v>
      </c>
      <c r="Q417" s="5">
        <v>100</v>
      </c>
      <c r="R417" s="8">
        <f>1.454*C417</f>
        <v>177.830016</v>
      </c>
      <c r="S417" s="9">
        <f>E417*1.454*0.4</f>
        <v>71.13200640000001</v>
      </c>
      <c r="T417" s="9">
        <f>E417*1.454*0.2</f>
        <v>35.566003200000004</v>
      </c>
      <c r="U417" s="9">
        <f>E417*1.454*0.2</f>
        <v>35.566003200000004</v>
      </c>
      <c r="V417" s="9">
        <f>E417*1.454*0.2</f>
        <v>35.566003200000004</v>
      </c>
      <c r="W417" s="9">
        <f>H417*1.454</f>
        <v>0</v>
      </c>
      <c r="X417" s="9">
        <f>K417*1.454</f>
        <v>0</v>
      </c>
      <c r="Y417" s="4">
        <f t="shared" si="52"/>
        <v>71.13200640000001</v>
      </c>
    </row>
    <row r="418" spans="1:25" ht="12.75" customHeight="1" outlineLevel="2">
      <c r="A418" s="170">
        <v>1</v>
      </c>
      <c r="B418" s="162" t="s">
        <v>549</v>
      </c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4">
        <f t="shared" si="52"/>
        <v>0</v>
      </c>
    </row>
    <row r="419" spans="1:25" ht="18" outlineLevel="2">
      <c r="A419" s="170"/>
      <c r="B419" s="5">
        <f>D419+G419+J419</f>
        <v>28</v>
      </c>
      <c r="C419" s="8">
        <f>E419+H419+K419</f>
        <v>88.97</v>
      </c>
      <c r="D419" s="5">
        <v>28</v>
      </c>
      <c r="E419" s="8">
        <f>D419*FORECAST(D419,AA$11:AA$12,Z$11:Z$12)</f>
        <v>88.97</v>
      </c>
      <c r="F419" s="5" t="s">
        <v>433</v>
      </c>
      <c r="G419" s="5"/>
      <c r="H419" s="5"/>
      <c r="I419" s="5"/>
      <c r="J419" s="5"/>
      <c r="K419" s="5"/>
      <c r="L419" s="5"/>
      <c r="M419" s="5">
        <v>0</v>
      </c>
      <c r="N419" s="5">
        <v>300</v>
      </c>
      <c r="O419" s="8">
        <f>C419/0.92</f>
        <v>96.70652173913042</v>
      </c>
      <c r="P419" s="5">
        <v>0</v>
      </c>
      <c r="Q419" s="5">
        <v>0</v>
      </c>
      <c r="R419" s="8">
        <f>1.454*C419</f>
        <v>129.36238</v>
      </c>
      <c r="S419" s="9">
        <f>E419*1.454*0.4</f>
        <v>51.744952000000005</v>
      </c>
      <c r="T419" s="9">
        <f>E419*1.454*0.2</f>
        <v>25.872476000000002</v>
      </c>
      <c r="U419" s="9">
        <f>E419*1.454*0.2</f>
        <v>25.872476000000002</v>
      </c>
      <c r="V419" s="9">
        <f>E419*1.454*0.2</f>
        <v>25.872476000000002</v>
      </c>
      <c r="W419" s="9">
        <f>H419*1.454</f>
        <v>0</v>
      </c>
      <c r="X419" s="9">
        <f>K419*1.454</f>
        <v>0</v>
      </c>
      <c r="Y419" s="4">
        <f t="shared" si="52"/>
        <v>51.744952000000005</v>
      </c>
    </row>
    <row r="420" spans="1:25" ht="36" outlineLevel="1">
      <c r="A420" s="6" t="s">
        <v>456</v>
      </c>
      <c r="B420" s="7">
        <f>B417+B419</f>
        <v>76</v>
      </c>
      <c r="C420" s="10">
        <f>C417+C419</f>
        <v>211.274</v>
      </c>
      <c r="D420" s="7">
        <f>D417+D419</f>
        <v>76</v>
      </c>
      <c r="E420" s="10">
        <f>E417+E419</f>
        <v>211.274</v>
      </c>
      <c r="F420" s="7" t="s">
        <v>433</v>
      </c>
      <c r="G420" s="7">
        <f>G417+G419</f>
        <v>0</v>
      </c>
      <c r="H420" s="7">
        <f>H417+H419</f>
        <v>0</v>
      </c>
      <c r="I420" s="7" t="s">
        <v>441</v>
      </c>
      <c r="J420" s="7">
        <f>J417+J419</f>
        <v>0</v>
      </c>
      <c r="K420" s="7">
        <f>K417+K419</f>
        <v>0</v>
      </c>
      <c r="L420" s="7" t="s">
        <v>441</v>
      </c>
      <c r="M420" s="7">
        <f aca="true" t="shared" si="58" ref="M420:X420">M417+M419</f>
        <v>60</v>
      </c>
      <c r="N420" s="7">
        <f t="shared" si="58"/>
        <v>900</v>
      </c>
      <c r="O420" s="10">
        <f t="shared" si="58"/>
        <v>229.64565217391305</v>
      </c>
      <c r="P420" s="7">
        <f t="shared" si="58"/>
        <v>1</v>
      </c>
      <c r="Q420" s="7">
        <f t="shared" si="58"/>
        <v>100</v>
      </c>
      <c r="R420" s="10">
        <f t="shared" si="58"/>
        <v>307.19239600000003</v>
      </c>
      <c r="S420" s="10">
        <f t="shared" si="58"/>
        <v>122.8769584</v>
      </c>
      <c r="T420" s="10">
        <f t="shared" si="58"/>
        <v>61.4384792</v>
      </c>
      <c r="U420" s="10">
        <f t="shared" si="58"/>
        <v>61.4384792</v>
      </c>
      <c r="V420" s="10">
        <f t="shared" si="58"/>
        <v>61.4384792</v>
      </c>
      <c r="W420" s="10">
        <f t="shared" si="58"/>
        <v>0</v>
      </c>
      <c r="X420" s="10">
        <f t="shared" si="58"/>
        <v>0</v>
      </c>
      <c r="Y420" s="4">
        <f t="shared" si="52"/>
        <v>122.8769584</v>
      </c>
    </row>
    <row r="421" spans="1:25" ht="18" outlineLevel="1">
      <c r="A421" s="161" t="s">
        <v>440</v>
      </c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4">
        <f t="shared" si="52"/>
        <v>0</v>
      </c>
    </row>
    <row r="422" spans="1:25" ht="12.75" customHeight="1" outlineLevel="2">
      <c r="A422" s="170">
        <v>1</v>
      </c>
      <c r="B422" s="162" t="s">
        <v>550</v>
      </c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4">
        <f t="shared" si="52"/>
        <v>0</v>
      </c>
    </row>
    <row r="423" spans="1:25" ht="18" outlineLevel="2">
      <c r="A423" s="170"/>
      <c r="B423" s="5">
        <f>D423+G423+J423</f>
        <v>100</v>
      </c>
      <c r="C423" s="5">
        <f>E423+H423+K423</f>
        <v>216</v>
      </c>
      <c r="D423" s="5">
        <v>100</v>
      </c>
      <c r="E423" s="8">
        <f>D423*FORECAST(D423,AA$13:AA$14,Z$13:Z$14)</f>
        <v>216</v>
      </c>
      <c r="F423" s="5" t="s">
        <v>433</v>
      </c>
      <c r="G423" s="5"/>
      <c r="H423" s="5"/>
      <c r="I423" s="5"/>
      <c r="J423" s="5"/>
      <c r="K423" s="5"/>
      <c r="L423" s="5"/>
      <c r="M423" s="5">
        <v>95</v>
      </c>
      <c r="N423" s="5">
        <v>1400</v>
      </c>
      <c r="O423" s="8">
        <f>C423/0.92</f>
        <v>234.78260869565216</v>
      </c>
      <c r="P423" s="5">
        <v>1</v>
      </c>
      <c r="Q423" s="5">
        <v>160</v>
      </c>
      <c r="R423" s="8">
        <f>1.454*C423</f>
        <v>314.06399999999996</v>
      </c>
      <c r="S423" s="9">
        <f>E423*1.454*0.4</f>
        <v>125.62559999999999</v>
      </c>
      <c r="T423" s="9">
        <f>E423*1.454*0.2</f>
        <v>62.812799999999996</v>
      </c>
      <c r="U423" s="9">
        <f>E423*1.454*0.2</f>
        <v>62.812799999999996</v>
      </c>
      <c r="V423" s="9">
        <f>E423*1.454*0.2</f>
        <v>62.812799999999996</v>
      </c>
      <c r="W423" s="9">
        <f>H423*1.454</f>
        <v>0</v>
      </c>
      <c r="X423" s="9">
        <f>K423*1.454</f>
        <v>0</v>
      </c>
      <c r="Y423" s="4">
        <f t="shared" si="52"/>
        <v>125.62559999999999</v>
      </c>
    </row>
    <row r="424" spans="1:25" ht="12.75" customHeight="1" outlineLevel="2">
      <c r="A424" s="170">
        <v>1</v>
      </c>
      <c r="B424" s="162" t="s">
        <v>551</v>
      </c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4">
        <f t="shared" si="52"/>
        <v>0</v>
      </c>
    </row>
    <row r="425" spans="1:25" ht="18" outlineLevel="2">
      <c r="A425" s="170"/>
      <c r="B425" s="5">
        <f>D425+G425+J425</f>
        <v>38</v>
      </c>
      <c r="C425" s="8">
        <f>E425+H425+K425</f>
        <v>104.35749999999999</v>
      </c>
      <c r="D425" s="5">
        <v>38</v>
      </c>
      <c r="E425" s="8">
        <f>D425*FORECAST(D425,AA$11:AA$12,Z$11:Z$12)</f>
        <v>104.35749999999999</v>
      </c>
      <c r="F425" s="5" t="s">
        <v>433</v>
      </c>
      <c r="G425" s="5"/>
      <c r="H425" s="5"/>
      <c r="I425" s="5"/>
      <c r="J425" s="5"/>
      <c r="K425" s="5"/>
      <c r="L425" s="5"/>
      <c r="M425" s="5">
        <v>0</v>
      </c>
      <c r="N425" s="5">
        <v>500</v>
      </c>
      <c r="O425" s="8">
        <f>C425/0.92</f>
        <v>113.43206521739128</v>
      </c>
      <c r="P425" s="5">
        <v>0</v>
      </c>
      <c r="Q425" s="5">
        <v>0</v>
      </c>
      <c r="R425" s="8">
        <f>1.454*C425</f>
        <v>151.73580499999997</v>
      </c>
      <c r="S425" s="9">
        <f>E425*1.454*0.4</f>
        <v>60.69432199999999</v>
      </c>
      <c r="T425" s="9">
        <f>E425*1.454*0.2</f>
        <v>30.347160999999996</v>
      </c>
      <c r="U425" s="9">
        <f>E425*1.454*0.2</f>
        <v>30.347160999999996</v>
      </c>
      <c r="V425" s="9">
        <f>E425*1.454*0.2</f>
        <v>30.347160999999996</v>
      </c>
      <c r="W425" s="9">
        <f>H425*1.454</f>
        <v>0</v>
      </c>
      <c r="X425" s="9">
        <f>K425*1.454</f>
        <v>0</v>
      </c>
      <c r="Y425" s="4">
        <f t="shared" si="52"/>
        <v>60.69432199999999</v>
      </c>
    </row>
    <row r="426" spans="1:25" ht="36" outlineLevel="1">
      <c r="A426" s="6" t="s">
        <v>450</v>
      </c>
      <c r="B426" s="7">
        <f>B423+B425</f>
        <v>138</v>
      </c>
      <c r="C426" s="10">
        <f>C423+C425</f>
        <v>320.35749999999996</v>
      </c>
      <c r="D426" s="7">
        <f>D423+D425</f>
        <v>138</v>
      </c>
      <c r="E426" s="10">
        <f>E423+E425</f>
        <v>320.35749999999996</v>
      </c>
      <c r="F426" s="7" t="s">
        <v>433</v>
      </c>
      <c r="G426" s="7">
        <f>G423+G425</f>
        <v>0</v>
      </c>
      <c r="H426" s="7">
        <f>H423+H425</f>
        <v>0</v>
      </c>
      <c r="I426" s="7" t="s">
        <v>441</v>
      </c>
      <c r="J426" s="7">
        <f>J423+J425</f>
        <v>0</v>
      </c>
      <c r="K426" s="7">
        <f>K423+K425</f>
        <v>0</v>
      </c>
      <c r="L426" s="7" t="s">
        <v>441</v>
      </c>
      <c r="M426" s="7">
        <f aca="true" t="shared" si="59" ref="M426:X426">M423+M425</f>
        <v>95</v>
      </c>
      <c r="N426" s="7">
        <f t="shared" si="59"/>
        <v>1900</v>
      </c>
      <c r="O426" s="10">
        <f t="shared" si="59"/>
        <v>348.21467391304344</v>
      </c>
      <c r="P426" s="7">
        <f t="shared" si="59"/>
        <v>1</v>
      </c>
      <c r="Q426" s="7">
        <f t="shared" si="59"/>
        <v>160</v>
      </c>
      <c r="R426" s="10">
        <f t="shared" si="59"/>
        <v>465.79980499999994</v>
      </c>
      <c r="S426" s="10">
        <f t="shared" si="59"/>
        <v>186.319922</v>
      </c>
      <c r="T426" s="10">
        <f t="shared" si="59"/>
        <v>93.159961</v>
      </c>
      <c r="U426" s="10">
        <f t="shared" si="59"/>
        <v>93.159961</v>
      </c>
      <c r="V426" s="10">
        <f t="shared" si="59"/>
        <v>93.159961</v>
      </c>
      <c r="W426" s="10">
        <f t="shared" si="59"/>
        <v>0</v>
      </c>
      <c r="X426" s="10">
        <f t="shared" si="59"/>
        <v>0</v>
      </c>
      <c r="Y426" s="4">
        <f t="shared" si="52"/>
        <v>186.319922</v>
      </c>
    </row>
    <row r="427" spans="1:25" ht="143.25" customHeight="1">
      <c r="A427" s="6" t="s">
        <v>732</v>
      </c>
      <c r="B427" s="7">
        <f>B410+B414+B420+B426</f>
        <v>692</v>
      </c>
      <c r="C427" s="10">
        <f aca="true" t="shared" si="60" ref="C427:W427">C410+C414+C420+C426</f>
        <v>1742.188</v>
      </c>
      <c r="D427" s="7">
        <f t="shared" si="60"/>
        <v>692</v>
      </c>
      <c r="E427" s="10">
        <f t="shared" si="60"/>
        <v>1742.188</v>
      </c>
      <c r="F427" s="7" t="s">
        <v>433</v>
      </c>
      <c r="G427" s="7">
        <f t="shared" si="60"/>
        <v>0</v>
      </c>
      <c r="H427" s="7">
        <f t="shared" si="60"/>
        <v>0</v>
      </c>
      <c r="I427" s="7" t="s">
        <v>698</v>
      </c>
      <c r="J427" s="7">
        <f t="shared" si="60"/>
        <v>0</v>
      </c>
      <c r="K427" s="7">
        <f t="shared" si="60"/>
        <v>0</v>
      </c>
      <c r="L427" s="7" t="s">
        <v>698</v>
      </c>
      <c r="M427" s="7">
        <f t="shared" si="60"/>
        <v>795</v>
      </c>
      <c r="N427" s="7">
        <f t="shared" si="60"/>
        <v>9640</v>
      </c>
      <c r="O427" s="58">
        <f t="shared" si="60"/>
        <v>1893.682608695652</v>
      </c>
      <c r="P427" s="7">
        <f t="shared" si="60"/>
        <v>9</v>
      </c>
      <c r="Q427" s="7">
        <f t="shared" si="60"/>
        <v>1110</v>
      </c>
      <c r="R427" s="58">
        <f t="shared" si="60"/>
        <v>2533.141352</v>
      </c>
      <c r="S427" s="58">
        <f t="shared" si="60"/>
        <v>1013.2565408</v>
      </c>
      <c r="T427" s="58">
        <f t="shared" si="60"/>
        <v>506.6282704</v>
      </c>
      <c r="U427" s="58">
        <f t="shared" si="60"/>
        <v>506.6282704</v>
      </c>
      <c r="V427" s="58">
        <f t="shared" si="60"/>
        <v>506.6282704</v>
      </c>
      <c r="W427" s="58">
        <f t="shared" si="60"/>
        <v>0</v>
      </c>
      <c r="X427" s="10">
        <f>X393+X398+X405+X410+X414+X420+X426</f>
        <v>0</v>
      </c>
      <c r="Y427" s="4">
        <f t="shared" si="52"/>
        <v>1013.2565408</v>
      </c>
    </row>
    <row r="428" spans="1:25" ht="18">
      <c r="A428" s="149" t="s">
        <v>40</v>
      </c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4">
        <f t="shared" si="52"/>
        <v>0</v>
      </c>
    </row>
    <row r="429" spans="1:25" ht="18.75" outlineLevel="1">
      <c r="A429" s="13">
        <v>1</v>
      </c>
      <c r="B429" s="13">
        <v>2</v>
      </c>
      <c r="C429" s="13">
        <v>3</v>
      </c>
      <c r="D429" s="13">
        <v>4</v>
      </c>
      <c r="E429" s="13">
        <v>5</v>
      </c>
      <c r="F429" s="13">
        <v>6</v>
      </c>
      <c r="G429" s="13">
        <v>7</v>
      </c>
      <c r="H429" s="13">
        <v>8</v>
      </c>
      <c r="I429" s="13">
        <v>9</v>
      </c>
      <c r="J429" s="13">
        <v>10</v>
      </c>
      <c r="K429" s="13">
        <v>11</v>
      </c>
      <c r="L429" s="13">
        <v>12</v>
      </c>
      <c r="M429" s="13">
        <v>13</v>
      </c>
      <c r="N429" s="13">
        <v>14</v>
      </c>
      <c r="O429" s="13">
        <v>15</v>
      </c>
      <c r="P429" s="13">
        <v>16</v>
      </c>
      <c r="Q429" s="13">
        <v>17</v>
      </c>
      <c r="R429" s="13">
        <v>18</v>
      </c>
      <c r="S429" s="89">
        <v>19</v>
      </c>
      <c r="T429" s="14">
        <v>20</v>
      </c>
      <c r="U429" s="14">
        <v>21</v>
      </c>
      <c r="V429" s="14">
        <v>22</v>
      </c>
      <c r="W429" s="14">
        <v>23</v>
      </c>
      <c r="X429" s="14">
        <v>24</v>
      </c>
      <c r="Y429" s="4">
        <f t="shared" si="52"/>
        <v>42</v>
      </c>
    </row>
    <row r="430" spans="1:25" ht="12.75" customHeight="1" outlineLevel="1">
      <c r="A430" s="161" t="s">
        <v>430</v>
      </c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4">
        <f t="shared" si="52"/>
        <v>0</v>
      </c>
    </row>
    <row r="431" spans="1:25" ht="12.75" customHeight="1" outlineLevel="1">
      <c r="A431" s="150">
        <v>1</v>
      </c>
      <c r="B431" s="159" t="s">
        <v>552</v>
      </c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4">
        <f t="shared" si="52"/>
        <v>0</v>
      </c>
    </row>
    <row r="432" spans="1:25" ht="17.25" customHeight="1" outlineLevel="1">
      <c r="A432" s="150"/>
      <c r="B432" s="21">
        <f>D432+G432+J432</f>
        <v>20</v>
      </c>
      <c r="C432" s="21">
        <f>E432+H432+K432</f>
        <v>74.6</v>
      </c>
      <c r="D432" s="21">
        <v>20</v>
      </c>
      <c r="E432" s="8">
        <f>D432*FORECAST(D432,AA$10:AA$11,Z$10:Z$11)</f>
        <v>74.6</v>
      </c>
      <c r="F432" s="21" t="s">
        <v>433</v>
      </c>
      <c r="G432" s="21"/>
      <c r="H432" s="21"/>
      <c r="I432" s="21"/>
      <c r="J432" s="21"/>
      <c r="K432" s="21"/>
      <c r="L432" s="21"/>
      <c r="M432" s="21">
        <v>300</v>
      </c>
      <c r="N432" s="21">
        <v>560</v>
      </c>
      <c r="O432" s="8">
        <f>C432/0.92</f>
        <v>81.08695652173913</v>
      </c>
      <c r="P432" s="21">
        <v>1</v>
      </c>
      <c r="Q432" s="21">
        <v>100</v>
      </c>
      <c r="R432" s="8">
        <f>1.454*C432</f>
        <v>108.46839999999999</v>
      </c>
      <c r="S432" s="9">
        <f>E432*1.454*0.4</f>
        <v>43.38736</v>
      </c>
      <c r="T432" s="9">
        <f>E432*1.454*0.2</f>
        <v>21.69368</v>
      </c>
      <c r="U432" s="9">
        <f>E432*1.454*0.2</f>
        <v>21.69368</v>
      </c>
      <c r="V432" s="9">
        <f>E432*1.454*0.2</f>
        <v>21.69368</v>
      </c>
      <c r="W432" s="9">
        <f>H432*1.454</f>
        <v>0</v>
      </c>
      <c r="X432" s="9">
        <f>K432*1.454</f>
        <v>0</v>
      </c>
      <c r="Y432" s="4">
        <f t="shared" si="52"/>
        <v>43.38736</v>
      </c>
    </row>
    <row r="433" spans="1:25" ht="12.75" customHeight="1" outlineLevel="1">
      <c r="A433" s="150">
        <v>1</v>
      </c>
      <c r="B433" s="159" t="s">
        <v>86</v>
      </c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4">
        <f t="shared" si="52"/>
        <v>0</v>
      </c>
    </row>
    <row r="434" spans="1:25" ht="18" outlineLevel="1">
      <c r="A434" s="150"/>
      <c r="B434" s="21">
        <f>D434+G434+J434</f>
        <v>76</v>
      </c>
      <c r="C434" s="22">
        <f>E434+H434+K434</f>
        <v>174.19199999999998</v>
      </c>
      <c r="D434" s="21">
        <v>76</v>
      </c>
      <c r="E434" s="8">
        <f>D434*FORECAST(D434,AA$13:AA$14,Z$13:Z$14)</f>
        <v>174.19199999999998</v>
      </c>
      <c r="F434" s="21" t="s">
        <v>433</v>
      </c>
      <c r="G434" s="21"/>
      <c r="H434" s="21"/>
      <c r="I434" s="21"/>
      <c r="J434" s="21"/>
      <c r="K434" s="21"/>
      <c r="L434" s="21"/>
      <c r="M434" s="21">
        <v>300</v>
      </c>
      <c r="N434" s="21">
        <v>1560</v>
      </c>
      <c r="O434" s="8">
        <f>C434/0.92</f>
        <v>189.3391304347826</v>
      </c>
      <c r="P434" s="21">
        <v>1</v>
      </c>
      <c r="Q434" s="21">
        <v>400</v>
      </c>
      <c r="R434" s="8">
        <f>1.454*C434</f>
        <v>253.27516799999995</v>
      </c>
      <c r="S434" s="9">
        <f>E434*1.454*0.4</f>
        <v>101.31006719999999</v>
      </c>
      <c r="T434" s="9">
        <f>E434*1.454*0.2</f>
        <v>50.655033599999996</v>
      </c>
      <c r="U434" s="9">
        <f>E434*1.454*0.2</f>
        <v>50.655033599999996</v>
      </c>
      <c r="V434" s="9">
        <f>E434*1.454*0.2</f>
        <v>50.655033599999996</v>
      </c>
      <c r="W434" s="9">
        <f>H434*1.454</f>
        <v>0</v>
      </c>
      <c r="X434" s="9">
        <f>K434*1.454</f>
        <v>0</v>
      </c>
      <c r="Y434" s="4">
        <f t="shared" si="52"/>
        <v>101.31006719999999</v>
      </c>
    </row>
    <row r="435" spans="1:25" ht="36" customHeight="1" hidden="1" outlineLevel="1">
      <c r="A435" s="6" t="s">
        <v>434</v>
      </c>
      <c r="B435" s="21">
        <f>B432+B434</f>
        <v>96</v>
      </c>
      <c r="C435" s="22">
        <f>C432+C434</f>
        <v>248.79199999999997</v>
      </c>
      <c r="D435" s="21">
        <f>D432+D434</f>
        <v>96</v>
      </c>
      <c r="E435" s="22">
        <f>E432+E434</f>
        <v>248.79199999999997</v>
      </c>
      <c r="F435" s="21" t="s">
        <v>433</v>
      </c>
      <c r="G435" s="57">
        <f>G432+G434</f>
        <v>0</v>
      </c>
      <c r="H435" s="57">
        <f>H432+H434</f>
        <v>0</v>
      </c>
      <c r="I435" s="22" t="s">
        <v>441</v>
      </c>
      <c r="J435" s="57">
        <f>J432+J434</f>
        <v>0</v>
      </c>
      <c r="K435" s="57">
        <f>K432+K434</f>
        <v>0</v>
      </c>
      <c r="L435" s="22" t="s">
        <v>441</v>
      </c>
      <c r="M435" s="57">
        <f aca="true" t="shared" si="61" ref="M435:R435">M432+M434</f>
        <v>600</v>
      </c>
      <c r="N435" s="57">
        <f t="shared" si="61"/>
        <v>2120</v>
      </c>
      <c r="O435" s="22">
        <f t="shared" si="61"/>
        <v>270.4260869565217</v>
      </c>
      <c r="P435" s="57">
        <f t="shared" si="61"/>
        <v>2</v>
      </c>
      <c r="Q435" s="57">
        <f t="shared" si="61"/>
        <v>500</v>
      </c>
      <c r="R435" s="22">
        <f t="shared" si="61"/>
        <v>361.7435679999999</v>
      </c>
      <c r="S435" s="22">
        <f aca="true" t="shared" si="62" ref="S435:X435">S432+S434</f>
        <v>144.6974272</v>
      </c>
      <c r="T435" s="22">
        <f t="shared" si="62"/>
        <v>72.3487136</v>
      </c>
      <c r="U435" s="22">
        <f t="shared" si="62"/>
        <v>72.3487136</v>
      </c>
      <c r="V435" s="22">
        <f t="shared" si="62"/>
        <v>72.3487136</v>
      </c>
      <c r="W435" s="22">
        <f t="shared" si="62"/>
        <v>0</v>
      </c>
      <c r="X435" s="22">
        <f t="shared" si="62"/>
        <v>0</v>
      </c>
      <c r="Y435" s="4">
        <f t="shared" si="52"/>
        <v>144.6974272</v>
      </c>
    </row>
    <row r="436" spans="1:25" ht="18" hidden="1" outlineLevel="1">
      <c r="A436" s="161" t="s">
        <v>428</v>
      </c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4">
        <f t="shared" si="52"/>
        <v>0</v>
      </c>
    </row>
    <row r="437" spans="1:25" ht="12.75" customHeight="1" outlineLevel="1">
      <c r="A437" s="150">
        <v>1</v>
      </c>
      <c r="B437" s="159" t="s">
        <v>87</v>
      </c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4">
        <f t="shared" si="52"/>
        <v>0</v>
      </c>
    </row>
    <row r="438" spans="1:25" ht="18" outlineLevel="1">
      <c r="A438" s="150"/>
      <c r="B438" s="21">
        <f>D438+G438+J438</f>
        <v>76</v>
      </c>
      <c r="C438" s="22">
        <f>E438+H438+K438</f>
        <v>174.19199999999998</v>
      </c>
      <c r="D438" s="21">
        <v>76</v>
      </c>
      <c r="E438" s="8">
        <f>D438*FORECAST(D438,AA$13:AA$14,Z$13:Z$14)</f>
        <v>174.19199999999998</v>
      </c>
      <c r="F438" s="21" t="s">
        <v>433</v>
      </c>
      <c r="G438" s="21"/>
      <c r="H438" s="21"/>
      <c r="I438" s="21"/>
      <c r="J438" s="21"/>
      <c r="K438" s="21"/>
      <c r="L438" s="21"/>
      <c r="M438" s="21"/>
      <c r="N438" s="21">
        <v>1560</v>
      </c>
      <c r="O438" s="8">
        <f>C438/0.92</f>
        <v>189.3391304347826</v>
      </c>
      <c r="P438" s="21"/>
      <c r="Q438" s="21"/>
      <c r="R438" s="8">
        <f>1.454*C438</f>
        <v>253.27516799999995</v>
      </c>
      <c r="S438" s="9">
        <f>E438*1.454*0.4</f>
        <v>101.31006719999999</v>
      </c>
      <c r="T438" s="9">
        <f>E438*1.454*0.2</f>
        <v>50.655033599999996</v>
      </c>
      <c r="U438" s="9">
        <f>E438*1.454*0.2</f>
        <v>50.655033599999996</v>
      </c>
      <c r="V438" s="9">
        <f>E438*1.454*0.2</f>
        <v>50.655033599999996</v>
      </c>
      <c r="W438" s="9">
        <f>H438*1.454</f>
        <v>0</v>
      </c>
      <c r="X438" s="9">
        <f>K438*1.454</f>
        <v>0</v>
      </c>
      <c r="Y438" s="4">
        <f t="shared" si="52"/>
        <v>101.31006719999999</v>
      </c>
    </row>
    <row r="439" spans="1:25" ht="18" hidden="1" outlineLevel="1">
      <c r="A439" s="161" t="s">
        <v>429</v>
      </c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4">
        <f t="shared" si="52"/>
        <v>0</v>
      </c>
    </row>
    <row r="440" spans="1:25" ht="12.75" customHeight="1" outlineLevel="1">
      <c r="A440" s="150">
        <v>1</v>
      </c>
      <c r="B440" s="159" t="s">
        <v>41</v>
      </c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4">
        <f t="shared" si="52"/>
        <v>0</v>
      </c>
    </row>
    <row r="441" spans="1:25" ht="18" outlineLevel="1">
      <c r="A441" s="150"/>
      <c r="B441" s="21">
        <f>D441+G441+J441</f>
        <v>22</v>
      </c>
      <c r="C441" s="22">
        <f>E441+H441+K441</f>
        <v>77.88</v>
      </c>
      <c r="D441" s="21">
        <v>22</v>
      </c>
      <c r="E441" s="8">
        <f>D441*FORECAST(D441,AA$10:AA$11,Z$10:Z$11)</f>
        <v>77.88</v>
      </c>
      <c r="F441" s="21" t="s">
        <v>433</v>
      </c>
      <c r="G441" s="21"/>
      <c r="H441" s="21"/>
      <c r="I441" s="21"/>
      <c r="J441" s="21"/>
      <c r="K441" s="21"/>
      <c r="L441" s="21"/>
      <c r="M441" s="21">
        <v>300</v>
      </c>
      <c r="N441" s="21">
        <v>648</v>
      </c>
      <c r="O441" s="8">
        <f>C441/0.92</f>
        <v>84.65217391304347</v>
      </c>
      <c r="P441" s="21">
        <v>1</v>
      </c>
      <c r="Q441" s="21">
        <v>100</v>
      </c>
      <c r="R441" s="8">
        <f>1.454*C441</f>
        <v>113.23751999999999</v>
      </c>
      <c r="S441" s="9">
        <f>E441*1.454*0.4</f>
        <v>45.295007999999996</v>
      </c>
      <c r="T441" s="9">
        <f>E441*1.454*0.2</f>
        <v>22.647503999999998</v>
      </c>
      <c r="U441" s="9">
        <f>E441*1.454*0.2</f>
        <v>22.647503999999998</v>
      </c>
      <c r="V441" s="9">
        <f>E441*1.454*0.2</f>
        <v>22.647503999999998</v>
      </c>
      <c r="W441" s="9">
        <f>H441*1.454</f>
        <v>0</v>
      </c>
      <c r="X441" s="9">
        <f>K441*1.454</f>
        <v>0</v>
      </c>
      <c r="Y441" s="4">
        <f t="shared" si="52"/>
        <v>45.295007999999996</v>
      </c>
    </row>
    <row r="442" spans="1:25" ht="12.75" customHeight="1" outlineLevel="1">
      <c r="A442" s="144">
        <v>1</v>
      </c>
      <c r="B442" s="159" t="s">
        <v>553</v>
      </c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4">
        <f t="shared" si="52"/>
        <v>0</v>
      </c>
    </row>
    <row r="443" spans="1:25" ht="18" outlineLevel="1">
      <c r="A443" s="144"/>
      <c r="B443" s="21">
        <f>D443+G443+J443</f>
        <v>24</v>
      </c>
      <c r="C443" s="21">
        <f>E443+H443+K443</f>
        <v>80.39999999999999</v>
      </c>
      <c r="D443" s="21">
        <v>24</v>
      </c>
      <c r="E443" s="8">
        <f>D443*FORECAST(D443,AA$11:AA$12,Z$11:Z$12)</f>
        <v>80.39999999999999</v>
      </c>
      <c r="F443" s="21" t="s">
        <v>433</v>
      </c>
      <c r="G443" s="21"/>
      <c r="H443" s="21"/>
      <c r="I443" s="21"/>
      <c r="J443" s="21"/>
      <c r="K443" s="21"/>
      <c r="L443" s="21"/>
      <c r="M443" s="21">
        <v>200</v>
      </c>
      <c r="N443" s="21">
        <v>750</v>
      </c>
      <c r="O443" s="8">
        <f>C443/0.92</f>
        <v>87.39130434782608</v>
      </c>
      <c r="P443" s="21">
        <v>1</v>
      </c>
      <c r="Q443" s="21">
        <v>100</v>
      </c>
      <c r="R443" s="8">
        <f>1.454*C443</f>
        <v>116.90159999999999</v>
      </c>
      <c r="S443" s="9">
        <f>E443*1.454*0.4</f>
        <v>46.760639999999995</v>
      </c>
      <c r="T443" s="9">
        <f>E443*1.454*0.2</f>
        <v>23.380319999999998</v>
      </c>
      <c r="U443" s="9">
        <f>E443*1.454*0.2</f>
        <v>23.380319999999998</v>
      </c>
      <c r="V443" s="9">
        <f>E443*1.454*0.2</f>
        <v>23.380319999999998</v>
      </c>
      <c r="W443" s="9">
        <f>H443*1.454</f>
        <v>0</v>
      </c>
      <c r="X443" s="9">
        <f>K443*1.454</f>
        <v>0</v>
      </c>
      <c r="Y443" s="4">
        <f t="shared" si="52"/>
        <v>46.760639999999995</v>
      </c>
    </row>
    <row r="444" spans="1:24" ht="36" outlineLevel="1">
      <c r="A444" s="7" t="s">
        <v>437</v>
      </c>
      <c r="B444" s="21">
        <f>B435+B438+B441+B443</f>
        <v>218</v>
      </c>
      <c r="C444" s="22">
        <f>C435+C438+C441+C443</f>
        <v>581.2639999999999</v>
      </c>
      <c r="D444" s="21">
        <f>D435+D438+D441+D443</f>
        <v>218</v>
      </c>
      <c r="E444" s="22">
        <f>E435+E438+E441+E443</f>
        <v>581.2639999999999</v>
      </c>
      <c r="F444" s="21" t="s">
        <v>433</v>
      </c>
      <c r="G444" s="21">
        <f>G435+G438+G441+G443</f>
        <v>0</v>
      </c>
      <c r="H444" s="21">
        <f>H435+H438+H441+H443</f>
        <v>0</v>
      </c>
      <c r="I444" s="21" t="s">
        <v>698</v>
      </c>
      <c r="J444" s="21">
        <f>J435+J438+J441+J443</f>
        <v>0</v>
      </c>
      <c r="K444" s="21">
        <f>K435+K438+K441+K443</f>
        <v>0</v>
      </c>
      <c r="L444" s="21" t="s">
        <v>698</v>
      </c>
      <c r="M444" s="21">
        <f aca="true" t="shared" si="63" ref="M444:X444">M435+M438+M441+M443</f>
        <v>1100</v>
      </c>
      <c r="N444" s="21">
        <f t="shared" si="63"/>
        <v>5078</v>
      </c>
      <c r="O444" s="21">
        <f t="shared" si="63"/>
        <v>631.8086956521739</v>
      </c>
      <c r="P444" s="21">
        <f t="shared" si="63"/>
        <v>4</v>
      </c>
      <c r="Q444" s="21">
        <f t="shared" si="63"/>
        <v>700</v>
      </c>
      <c r="R444" s="22">
        <f t="shared" si="63"/>
        <v>845.1578559999999</v>
      </c>
      <c r="S444" s="22">
        <f t="shared" si="63"/>
        <v>338.06314239999995</v>
      </c>
      <c r="T444" s="22">
        <f t="shared" si="63"/>
        <v>169.03157119999997</v>
      </c>
      <c r="U444" s="22">
        <f t="shared" si="63"/>
        <v>169.03157119999997</v>
      </c>
      <c r="V444" s="22">
        <f t="shared" si="63"/>
        <v>169.03157119999997</v>
      </c>
      <c r="W444" s="21">
        <f t="shared" si="63"/>
        <v>0</v>
      </c>
      <c r="X444" s="21">
        <f t="shared" si="63"/>
        <v>0</v>
      </c>
    </row>
    <row r="445" spans="1:25" ht="18" outlineLevel="1">
      <c r="A445" s="161" t="s">
        <v>432</v>
      </c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4">
        <f t="shared" si="52"/>
        <v>0</v>
      </c>
    </row>
    <row r="446" spans="1:25" ht="12.75" customHeight="1" outlineLevel="1">
      <c r="A446" s="144" t="s">
        <v>438</v>
      </c>
      <c r="B446" s="159" t="s">
        <v>88</v>
      </c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4">
        <f t="shared" si="52"/>
        <v>0</v>
      </c>
    </row>
    <row r="447" spans="1:25" ht="18" outlineLevel="1">
      <c r="A447" s="144"/>
      <c r="B447" s="21">
        <f>D447+G447+J447</f>
        <v>36</v>
      </c>
      <c r="C447" s="22">
        <f>E447+H447+K447</f>
        <v>101.97</v>
      </c>
      <c r="D447" s="21">
        <v>36</v>
      </c>
      <c r="E447" s="8">
        <f>D447*FORECAST(D447,AA$11:AA$12,Z$11:Z$12)</f>
        <v>101.97</v>
      </c>
      <c r="F447" s="21" t="s">
        <v>433</v>
      </c>
      <c r="G447" s="21"/>
      <c r="H447" s="21"/>
      <c r="I447" s="21"/>
      <c r="J447" s="21"/>
      <c r="K447" s="21"/>
      <c r="L447" s="21"/>
      <c r="M447" s="21">
        <v>750</v>
      </c>
      <c r="N447" s="21">
        <v>500</v>
      </c>
      <c r="O447" s="8">
        <f>C447/0.92</f>
        <v>110.83695652173913</v>
      </c>
      <c r="P447" s="21">
        <v>1</v>
      </c>
      <c r="Q447" s="21">
        <v>250</v>
      </c>
      <c r="R447" s="8">
        <f>1.454*C447</f>
        <v>148.26438</v>
      </c>
      <c r="S447" s="9">
        <f>E447*1.454*0.4</f>
        <v>59.305752</v>
      </c>
      <c r="T447" s="9">
        <f>E447*1.454*0.2</f>
        <v>29.652876</v>
      </c>
      <c r="U447" s="9">
        <f>E447*1.454*0.2</f>
        <v>29.652876</v>
      </c>
      <c r="V447" s="9">
        <f>E447*1.454*0.2</f>
        <v>29.652876</v>
      </c>
      <c r="W447" s="9">
        <f>H447*1.454</f>
        <v>0</v>
      </c>
      <c r="X447" s="9">
        <f>K447*1.454</f>
        <v>0</v>
      </c>
      <c r="Y447" s="4">
        <f t="shared" si="52"/>
        <v>59.305752</v>
      </c>
    </row>
    <row r="448" spans="1:25" ht="18" outlineLevel="1">
      <c r="A448" s="161" t="s">
        <v>439</v>
      </c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4">
        <f t="shared" si="52"/>
        <v>0</v>
      </c>
    </row>
    <row r="449" spans="1:25" ht="12.75" customHeight="1" outlineLevel="1">
      <c r="A449" s="144" t="s">
        <v>456</v>
      </c>
      <c r="B449" s="159" t="s">
        <v>89</v>
      </c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4">
        <f t="shared" si="52"/>
        <v>0</v>
      </c>
    </row>
    <row r="450" spans="1:25" ht="18" outlineLevel="1">
      <c r="A450" s="144"/>
      <c r="B450" s="21">
        <f>D450+G450+J450</f>
        <v>20</v>
      </c>
      <c r="C450" s="21">
        <f>E450+H450+K450</f>
        <v>74.6</v>
      </c>
      <c r="D450" s="21">
        <v>20</v>
      </c>
      <c r="E450" s="8">
        <f>D450*FORECAST(D450,AA$10:AA$11,Z$10:Z$11)</f>
        <v>74.6</v>
      </c>
      <c r="F450" s="21" t="s">
        <v>433</v>
      </c>
      <c r="G450" s="21"/>
      <c r="H450" s="21"/>
      <c r="I450" s="21"/>
      <c r="J450" s="21"/>
      <c r="K450" s="21"/>
      <c r="L450" s="21"/>
      <c r="M450" s="21">
        <v>300</v>
      </c>
      <c r="N450" s="21">
        <v>320</v>
      </c>
      <c r="O450" s="8">
        <f>C450/0.92</f>
        <v>81.08695652173913</v>
      </c>
      <c r="P450" s="21">
        <v>1</v>
      </c>
      <c r="Q450" s="21">
        <v>100</v>
      </c>
      <c r="R450" s="8">
        <f>1.454*C450</f>
        <v>108.46839999999999</v>
      </c>
      <c r="S450" s="9">
        <f>E450*1.454*0.4</f>
        <v>43.38736</v>
      </c>
      <c r="T450" s="9">
        <f>E450*1.454*0.2</f>
        <v>21.69368</v>
      </c>
      <c r="U450" s="9">
        <f>E450*1.454*0.2</f>
        <v>21.69368</v>
      </c>
      <c r="V450" s="9">
        <f>E450*1.454*0.2</f>
        <v>21.69368</v>
      </c>
      <c r="W450" s="9">
        <f>H450*1.454</f>
        <v>0</v>
      </c>
      <c r="X450" s="9">
        <f>K450*1.454</f>
        <v>0</v>
      </c>
      <c r="Y450" s="4">
        <f t="shared" si="52"/>
        <v>43.38736</v>
      </c>
    </row>
    <row r="451" spans="1:25" ht="18" outlineLevel="1">
      <c r="A451" s="161" t="s">
        <v>440</v>
      </c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4">
        <f aca="true" t="shared" si="64" ref="Y451:Y527">U451*2</f>
        <v>0</v>
      </c>
    </row>
    <row r="452" spans="1:25" ht="12.75" customHeight="1" outlineLevel="1">
      <c r="A452" s="144" t="s">
        <v>450</v>
      </c>
      <c r="B452" s="159" t="s">
        <v>90</v>
      </c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4">
        <f t="shared" si="64"/>
        <v>0</v>
      </c>
    </row>
    <row r="453" spans="1:25" ht="18" outlineLevel="1">
      <c r="A453" s="144"/>
      <c r="B453" s="21">
        <f>D453+G453+J453</f>
        <v>30</v>
      </c>
      <c r="C453" s="22">
        <f>E453+H453+K453</f>
        <v>92.73749999999998</v>
      </c>
      <c r="D453" s="21">
        <v>30</v>
      </c>
      <c r="E453" s="8">
        <f>D453*FORECAST(D453,AA$11:AA$12,Z$11:Z$12)</f>
        <v>92.73749999999998</v>
      </c>
      <c r="F453" s="21" t="s">
        <v>433</v>
      </c>
      <c r="G453" s="21"/>
      <c r="H453" s="21"/>
      <c r="I453" s="21"/>
      <c r="J453" s="21"/>
      <c r="K453" s="21"/>
      <c r="L453" s="21"/>
      <c r="M453" s="21">
        <v>300</v>
      </c>
      <c r="N453" s="21">
        <v>400</v>
      </c>
      <c r="O453" s="8">
        <f>C453/0.92</f>
        <v>100.80163043478258</v>
      </c>
      <c r="P453" s="21">
        <v>1</v>
      </c>
      <c r="Q453" s="21">
        <v>250</v>
      </c>
      <c r="R453" s="8">
        <f>1.454*C453</f>
        <v>134.84032499999998</v>
      </c>
      <c r="S453" s="9">
        <f>E453*1.454*0.4</f>
        <v>53.93612999999999</v>
      </c>
      <c r="T453" s="9">
        <f>E453*1.454*0.2</f>
        <v>26.968064999999996</v>
      </c>
      <c r="U453" s="9">
        <f>E453*1.454*0.2</f>
        <v>26.968064999999996</v>
      </c>
      <c r="V453" s="9">
        <f>E453*1.454*0.2</f>
        <v>26.968064999999996</v>
      </c>
      <c r="W453" s="9">
        <f>H453*1.454</f>
        <v>0</v>
      </c>
      <c r="X453" s="9">
        <f>K453*1.454</f>
        <v>0</v>
      </c>
      <c r="Y453" s="4">
        <f t="shared" si="64"/>
        <v>53.93612999999999</v>
      </c>
    </row>
    <row r="454" spans="1:25" ht="108">
      <c r="A454" s="6" t="s">
        <v>732</v>
      </c>
      <c r="B454" s="20">
        <f>B444+B447+B450+B453</f>
        <v>304</v>
      </c>
      <c r="C454" s="23">
        <f>C435+C438+C441+C443+C447+C450+C453</f>
        <v>850.5714999999999</v>
      </c>
      <c r="D454" s="44">
        <f>D435+D438+D441+D443+D447+D450+D453</f>
        <v>304</v>
      </c>
      <c r="E454" s="23">
        <f>E435+E438+E441+E443+E447+E450+E453</f>
        <v>850.5714999999999</v>
      </c>
      <c r="F454" s="20" t="s">
        <v>433</v>
      </c>
      <c r="G454" s="44">
        <f>G435+G438+G441+G443+G447+G450+G453</f>
        <v>0</v>
      </c>
      <c r="H454" s="44">
        <f>H435+H438+H441+H443+H447+H450+H453</f>
        <v>0</v>
      </c>
      <c r="I454" s="20" t="s">
        <v>441</v>
      </c>
      <c r="J454" s="44">
        <f>J435+J438+J441+J443+J447+J450+J453</f>
        <v>0</v>
      </c>
      <c r="K454" s="44">
        <f>K435+K438+K441+K443+K447+K450+K453</f>
        <v>0</v>
      </c>
      <c r="L454" s="20" t="s">
        <v>441</v>
      </c>
      <c r="M454" s="44">
        <f aca="true" t="shared" si="65" ref="M454:X454">M435+M438+M441+M443+M447+M450+M453</f>
        <v>2450</v>
      </c>
      <c r="N454" s="44">
        <f t="shared" si="65"/>
        <v>6298</v>
      </c>
      <c r="O454" s="23">
        <f t="shared" si="65"/>
        <v>924.5342391304348</v>
      </c>
      <c r="P454" s="44">
        <f t="shared" si="65"/>
        <v>7</v>
      </c>
      <c r="Q454" s="44">
        <f t="shared" si="65"/>
        <v>1300</v>
      </c>
      <c r="R454" s="23">
        <f t="shared" si="65"/>
        <v>1236.7309609999998</v>
      </c>
      <c r="S454" s="23">
        <f t="shared" si="65"/>
        <v>494.6923843999999</v>
      </c>
      <c r="T454" s="23">
        <f t="shared" si="65"/>
        <v>247.34619219999996</v>
      </c>
      <c r="U454" s="23">
        <f t="shared" si="65"/>
        <v>247.34619219999996</v>
      </c>
      <c r="V454" s="23">
        <f t="shared" si="65"/>
        <v>247.34619219999996</v>
      </c>
      <c r="W454" s="23">
        <f t="shared" si="65"/>
        <v>0</v>
      </c>
      <c r="X454" s="23">
        <f t="shared" si="65"/>
        <v>0</v>
      </c>
      <c r="Y454" s="4">
        <f t="shared" si="64"/>
        <v>494.6923843999999</v>
      </c>
    </row>
    <row r="455" spans="1:25" ht="18">
      <c r="A455" s="171" t="s">
        <v>442</v>
      </c>
      <c r="B455" s="171"/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4">
        <f t="shared" si="64"/>
        <v>0</v>
      </c>
    </row>
    <row r="456" spans="1:25" ht="18.75" outlineLevel="1">
      <c r="A456" s="13">
        <v>1</v>
      </c>
      <c r="B456" s="13">
        <v>2</v>
      </c>
      <c r="C456" s="13">
        <v>3</v>
      </c>
      <c r="D456" s="13">
        <v>4</v>
      </c>
      <c r="E456" s="13">
        <v>5</v>
      </c>
      <c r="F456" s="13">
        <v>6</v>
      </c>
      <c r="G456" s="13">
        <v>7</v>
      </c>
      <c r="H456" s="13">
        <v>8</v>
      </c>
      <c r="I456" s="13">
        <v>9</v>
      </c>
      <c r="J456" s="13">
        <v>10</v>
      </c>
      <c r="K456" s="13">
        <v>11</v>
      </c>
      <c r="L456" s="13">
        <v>12</v>
      </c>
      <c r="M456" s="13">
        <v>13</v>
      </c>
      <c r="N456" s="13">
        <v>14</v>
      </c>
      <c r="O456" s="13">
        <v>15</v>
      </c>
      <c r="P456" s="13">
        <v>16</v>
      </c>
      <c r="Q456" s="13">
        <v>17</v>
      </c>
      <c r="R456" s="13">
        <v>18</v>
      </c>
      <c r="S456" s="89">
        <v>19</v>
      </c>
      <c r="T456" s="14">
        <v>20</v>
      </c>
      <c r="U456" s="14">
        <v>21</v>
      </c>
      <c r="V456" s="14">
        <v>22</v>
      </c>
      <c r="W456" s="14">
        <v>23</v>
      </c>
      <c r="X456" s="14">
        <v>24</v>
      </c>
      <c r="Y456" s="4">
        <f t="shared" si="64"/>
        <v>42</v>
      </c>
    </row>
    <row r="457" spans="1:25" ht="12.75" customHeight="1" outlineLevel="1">
      <c r="A457" s="161" t="s">
        <v>430</v>
      </c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4">
        <f t="shared" si="64"/>
        <v>0</v>
      </c>
    </row>
    <row r="458" spans="1:25" ht="12.75" customHeight="1" outlineLevel="2">
      <c r="A458" s="178">
        <v>1</v>
      </c>
      <c r="B458" s="162" t="s">
        <v>554</v>
      </c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4">
        <f t="shared" si="64"/>
        <v>0</v>
      </c>
    </row>
    <row r="459" spans="1:25" ht="18" outlineLevel="2">
      <c r="A459" s="178"/>
      <c r="B459" s="5">
        <f>D459+G459+J459</f>
        <v>50</v>
      </c>
      <c r="C459" s="5">
        <f>E459+H459+K459</f>
        <v>126</v>
      </c>
      <c r="D459" s="5">
        <v>50</v>
      </c>
      <c r="E459" s="8">
        <f>D459*FORECAST(D459,AA$12:AA$13,Z$12:Z$13)</f>
        <v>126</v>
      </c>
      <c r="F459" s="5" t="s">
        <v>433</v>
      </c>
      <c r="G459" s="5"/>
      <c r="H459" s="5"/>
      <c r="I459" s="5"/>
      <c r="J459" s="5"/>
      <c r="K459" s="5"/>
      <c r="L459" s="5"/>
      <c r="M459" s="5">
        <v>100</v>
      </c>
      <c r="N459" s="5">
        <v>700</v>
      </c>
      <c r="O459" s="8">
        <f>C459/0.92</f>
        <v>136.95652173913044</v>
      </c>
      <c r="P459" s="5">
        <v>2</v>
      </c>
      <c r="Q459" s="5">
        <v>160</v>
      </c>
      <c r="R459" s="8">
        <f>1.454*C459</f>
        <v>183.204</v>
      </c>
      <c r="S459" s="9">
        <f>E459*1.454*0.4</f>
        <v>73.28160000000001</v>
      </c>
      <c r="T459" s="9">
        <f>E459*1.454*0.2</f>
        <v>36.640800000000006</v>
      </c>
      <c r="U459" s="9">
        <f>E459*1.454*0.2</f>
        <v>36.640800000000006</v>
      </c>
      <c r="V459" s="9">
        <f>E459*1.454*0.2</f>
        <v>36.640800000000006</v>
      </c>
      <c r="W459" s="9">
        <f>H459*1.454</f>
        <v>0</v>
      </c>
      <c r="X459" s="9">
        <f>K459*1.454</f>
        <v>0</v>
      </c>
      <c r="Y459" s="4">
        <f t="shared" si="64"/>
        <v>73.28160000000001</v>
      </c>
    </row>
    <row r="460" spans="1:25" ht="12.75" customHeight="1" outlineLevel="2">
      <c r="A460" s="178">
        <v>1</v>
      </c>
      <c r="B460" s="162" t="s">
        <v>193</v>
      </c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4">
        <f t="shared" si="64"/>
        <v>0</v>
      </c>
    </row>
    <row r="461" spans="1:25" ht="18" outlineLevel="2">
      <c r="A461" s="178"/>
      <c r="B461" s="5">
        <f>D461+G461+J461</f>
        <v>35</v>
      </c>
      <c r="C461" s="8">
        <f>E461+H461+K461</f>
        <v>100.646875</v>
      </c>
      <c r="D461" s="5">
        <v>35</v>
      </c>
      <c r="E461" s="8">
        <f>D461*FORECAST(D461,AA$11:AA$12,Z$11:Z$12)</f>
        <v>100.646875</v>
      </c>
      <c r="F461" s="5" t="s">
        <v>433</v>
      </c>
      <c r="G461" s="5"/>
      <c r="H461" s="5"/>
      <c r="I461" s="5"/>
      <c r="J461" s="5"/>
      <c r="K461" s="5"/>
      <c r="L461" s="5"/>
      <c r="M461" s="5">
        <v>100</v>
      </c>
      <c r="N461" s="5">
        <v>200</v>
      </c>
      <c r="O461" s="8">
        <f>C461/0.92</f>
        <v>109.39877717391303</v>
      </c>
      <c r="P461" s="5">
        <v>1</v>
      </c>
      <c r="Q461" s="5">
        <v>160</v>
      </c>
      <c r="R461" s="8">
        <f>1.454*C461</f>
        <v>146.34055625</v>
      </c>
      <c r="S461" s="9">
        <f>E461*1.454*0.4</f>
        <v>58.5362225</v>
      </c>
      <c r="T461" s="9">
        <f>E461*1.454*0.2</f>
        <v>29.26811125</v>
      </c>
      <c r="U461" s="9">
        <f>E461*1.454*0.2</f>
        <v>29.26811125</v>
      </c>
      <c r="V461" s="9">
        <f>E461*1.454*0.2</f>
        <v>29.26811125</v>
      </c>
      <c r="W461" s="9">
        <f>H461*1.454</f>
        <v>0</v>
      </c>
      <c r="X461" s="9">
        <f>K461*1.454</f>
        <v>0</v>
      </c>
      <c r="Y461" s="4">
        <f t="shared" si="64"/>
        <v>58.5362225</v>
      </c>
    </row>
    <row r="462" spans="1:25" ht="12.75" customHeight="1" outlineLevel="2">
      <c r="A462" s="178">
        <v>1</v>
      </c>
      <c r="B462" s="162" t="s">
        <v>555</v>
      </c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4">
        <f t="shared" si="64"/>
        <v>0</v>
      </c>
    </row>
    <row r="463" spans="1:25" ht="18" outlineLevel="2">
      <c r="A463" s="178"/>
      <c r="B463" s="5">
        <f>D463+G463+J463</f>
        <v>80</v>
      </c>
      <c r="C463" s="5">
        <f>E463+H463+K463</f>
        <v>181.6</v>
      </c>
      <c r="D463" s="5">
        <v>80</v>
      </c>
      <c r="E463" s="8">
        <f>D463*FORECAST(D463,AA$13:AA$14,Z$13:Z$14)</f>
        <v>181.6</v>
      </c>
      <c r="F463" s="5" t="s">
        <v>433</v>
      </c>
      <c r="G463" s="5"/>
      <c r="H463" s="5"/>
      <c r="I463" s="5"/>
      <c r="J463" s="5"/>
      <c r="K463" s="5"/>
      <c r="L463" s="5"/>
      <c r="M463" s="5">
        <v>100</v>
      </c>
      <c r="N463" s="5">
        <v>800</v>
      </c>
      <c r="O463" s="8">
        <f>C463/0.92</f>
        <v>197.39130434782606</v>
      </c>
      <c r="P463" s="5">
        <v>2</v>
      </c>
      <c r="Q463" s="5">
        <v>160</v>
      </c>
      <c r="R463" s="8">
        <f>1.454*C463</f>
        <v>264.0464</v>
      </c>
      <c r="S463" s="9">
        <f>E463*1.454*0.4</f>
        <v>105.61856</v>
      </c>
      <c r="T463" s="9">
        <f>E463*1.454*0.2</f>
        <v>52.80928</v>
      </c>
      <c r="U463" s="9">
        <f>E463*1.454*0.2</f>
        <v>52.80928</v>
      </c>
      <c r="V463" s="9">
        <f>E463*1.454*0.2</f>
        <v>52.80928</v>
      </c>
      <c r="W463" s="9">
        <f>H463*1.454</f>
        <v>0</v>
      </c>
      <c r="X463" s="9">
        <f>K463*1.454</f>
        <v>0</v>
      </c>
      <c r="Y463" s="4">
        <f t="shared" si="64"/>
        <v>105.61856</v>
      </c>
    </row>
    <row r="464" spans="1:25" ht="12.75" customHeight="1" outlineLevel="2">
      <c r="A464" s="178">
        <v>1</v>
      </c>
      <c r="B464" s="162" t="s">
        <v>194</v>
      </c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4">
        <f t="shared" si="64"/>
        <v>0</v>
      </c>
    </row>
    <row r="465" spans="1:25" ht="18" outlineLevel="2">
      <c r="A465" s="178"/>
      <c r="B465" s="5">
        <f>D465+G465+J465</f>
        <v>52</v>
      </c>
      <c r="C465" s="8">
        <f>E465+H465+K465</f>
        <v>129.584</v>
      </c>
      <c r="D465" s="5">
        <v>52</v>
      </c>
      <c r="E465" s="8">
        <f>D465*FORECAST(D465,AA$12:AA$13,Z$12:Z$13)</f>
        <v>129.584</v>
      </c>
      <c r="F465" s="5" t="s">
        <v>433</v>
      </c>
      <c r="G465" s="5"/>
      <c r="H465" s="5"/>
      <c r="I465" s="5"/>
      <c r="J465" s="5"/>
      <c r="K465" s="5"/>
      <c r="L465" s="5"/>
      <c r="M465" s="5"/>
      <c r="N465" s="5">
        <v>200</v>
      </c>
      <c r="O465" s="8">
        <f>C465/0.92</f>
        <v>140.8521739130435</v>
      </c>
      <c r="P465" s="5">
        <v>1</v>
      </c>
      <c r="Q465" s="5">
        <v>160</v>
      </c>
      <c r="R465" s="8">
        <f>1.454*C465</f>
        <v>188.415136</v>
      </c>
      <c r="S465" s="9">
        <f>E465*1.454*0.4</f>
        <v>75.3660544</v>
      </c>
      <c r="T465" s="9">
        <f>E465*1.454*0.2</f>
        <v>37.6830272</v>
      </c>
      <c r="U465" s="9">
        <f>E465*1.454*0.2</f>
        <v>37.6830272</v>
      </c>
      <c r="V465" s="9">
        <f>E465*1.454*0.2</f>
        <v>37.6830272</v>
      </c>
      <c r="W465" s="9">
        <f>H465*1.454</f>
        <v>0</v>
      </c>
      <c r="X465" s="9">
        <f>K465*1.454</f>
        <v>0</v>
      </c>
      <c r="Y465" s="4">
        <f t="shared" si="64"/>
        <v>75.3660544</v>
      </c>
    </row>
    <row r="466" spans="1:25" ht="14.25" customHeight="1" outlineLevel="2">
      <c r="A466" s="178">
        <v>1</v>
      </c>
      <c r="B466" s="158" t="s">
        <v>195</v>
      </c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4">
        <f t="shared" si="64"/>
        <v>0</v>
      </c>
    </row>
    <row r="467" spans="1:25" ht="18" outlineLevel="2">
      <c r="A467" s="178"/>
      <c r="B467" s="5">
        <f>D467+G467+J467</f>
        <v>82</v>
      </c>
      <c r="C467" s="8">
        <f>E467+H467+K467</f>
        <v>185.238</v>
      </c>
      <c r="D467" s="5">
        <v>82</v>
      </c>
      <c r="E467" s="8">
        <f>D467*FORECAST(D467,AA$13:AA$14,Z$13:Z$14)</f>
        <v>185.238</v>
      </c>
      <c r="F467" s="5" t="s">
        <v>433</v>
      </c>
      <c r="G467" s="5"/>
      <c r="H467" s="5"/>
      <c r="I467" s="5"/>
      <c r="J467" s="5"/>
      <c r="K467" s="5"/>
      <c r="L467" s="5"/>
      <c r="M467" s="5">
        <v>200</v>
      </c>
      <c r="N467" s="5">
        <v>1200</v>
      </c>
      <c r="O467" s="8">
        <f>C467/0.92</f>
        <v>201.34565217391304</v>
      </c>
      <c r="P467" s="5">
        <v>1</v>
      </c>
      <c r="Q467" s="5">
        <v>160</v>
      </c>
      <c r="R467" s="8">
        <f>1.454*C467</f>
        <v>269.336052</v>
      </c>
      <c r="S467" s="9">
        <f>E467*1.454*0.4</f>
        <v>107.73442080000001</v>
      </c>
      <c r="T467" s="9">
        <f>E467*1.454*0.2</f>
        <v>53.867210400000005</v>
      </c>
      <c r="U467" s="9">
        <f>E467*1.454*0.2</f>
        <v>53.867210400000005</v>
      </c>
      <c r="V467" s="9">
        <f>E467*1.454*0.2</f>
        <v>53.867210400000005</v>
      </c>
      <c r="W467" s="9">
        <f>H467*1.454</f>
        <v>0</v>
      </c>
      <c r="X467" s="9">
        <f>K467*1.454</f>
        <v>0</v>
      </c>
      <c r="Y467" s="4">
        <f t="shared" si="64"/>
        <v>107.73442080000001</v>
      </c>
    </row>
    <row r="468" spans="1:25" ht="12.75" customHeight="1" outlineLevel="2">
      <c r="A468" s="178">
        <v>1</v>
      </c>
      <c r="B468" s="162" t="s">
        <v>196</v>
      </c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4">
        <f t="shared" si="64"/>
        <v>0</v>
      </c>
    </row>
    <row r="469" spans="1:25" ht="18" outlineLevel="2">
      <c r="A469" s="178"/>
      <c r="B469" s="5">
        <f>D469+G469+J469</f>
        <v>62</v>
      </c>
      <c r="C469" s="5">
        <f>E469+H469+K469</f>
        <v>152.79999999999998</v>
      </c>
      <c r="D469" s="5">
        <v>60</v>
      </c>
      <c r="E469" s="8">
        <f>D469*FORECAST(D469,AA$12:AA$13,Z$12:Z$13)</f>
        <v>142.79999999999998</v>
      </c>
      <c r="F469" s="5" t="s">
        <v>433</v>
      </c>
      <c r="G469" s="5"/>
      <c r="H469" s="5"/>
      <c r="I469" s="5"/>
      <c r="J469" s="5">
        <v>2</v>
      </c>
      <c r="K469" s="5">
        <v>10</v>
      </c>
      <c r="L469" s="5" t="s">
        <v>433</v>
      </c>
      <c r="M469" s="5">
        <v>100</v>
      </c>
      <c r="N469" s="5">
        <v>600</v>
      </c>
      <c r="O469" s="8">
        <f>C469/0.92</f>
        <v>166.0869565217391</v>
      </c>
      <c r="P469" s="5">
        <v>1</v>
      </c>
      <c r="Q469" s="5">
        <v>160</v>
      </c>
      <c r="R469" s="8">
        <f>1.454*C469</f>
        <v>222.17119999999997</v>
      </c>
      <c r="S469" s="9">
        <f>E469*1.454*0.4</f>
        <v>83.05248</v>
      </c>
      <c r="T469" s="9">
        <f>E469*1.454*0.2</f>
        <v>41.52624</v>
      </c>
      <c r="U469" s="9">
        <f>E469*1.454*0.2</f>
        <v>41.52624</v>
      </c>
      <c r="V469" s="9">
        <f>E469*1.454*0.2</f>
        <v>41.52624</v>
      </c>
      <c r="W469" s="9">
        <f>H469*1.454</f>
        <v>0</v>
      </c>
      <c r="X469" s="9">
        <f>K469*1.454</f>
        <v>14.54</v>
      </c>
      <c r="Y469" s="4">
        <f t="shared" si="64"/>
        <v>83.05248</v>
      </c>
    </row>
    <row r="470" spans="1:25" ht="12.75" customHeight="1" outlineLevel="2">
      <c r="A470" s="178">
        <v>1</v>
      </c>
      <c r="B470" s="162" t="s">
        <v>197</v>
      </c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4">
        <f t="shared" si="64"/>
        <v>0</v>
      </c>
    </row>
    <row r="471" spans="1:25" ht="18" outlineLevel="2">
      <c r="A471" s="178"/>
      <c r="B471" s="5">
        <f>D471+G471+J471</f>
        <v>104</v>
      </c>
      <c r="C471" s="5">
        <f>E471+H471+K471</f>
        <v>236</v>
      </c>
      <c r="D471" s="5">
        <v>100</v>
      </c>
      <c r="E471" s="8">
        <f>D471*FORECAST(D471,AA$13:AA$14,Z$13:Z$14)</f>
        <v>216</v>
      </c>
      <c r="F471" s="5" t="s">
        <v>433</v>
      </c>
      <c r="G471" s="5"/>
      <c r="H471" s="5"/>
      <c r="I471" s="5"/>
      <c r="J471" s="5">
        <v>4</v>
      </c>
      <c r="K471" s="5">
        <v>20</v>
      </c>
      <c r="L471" s="5" t="s">
        <v>433</v>
      </c>
      <c r="M471" s="5">
        <v>100</v>
      </c>
      <c r="N471" s="5">
        <v>1100</v>
      </c>
      <c r="O471" s="8">
        <f>C471/0.92</f>
        <v>256.52173913043475</v>
      </c>
      <c r="P471" s="5">
        <v>1</v>
      </c>
      <c r="Q471" s="5">
        <v>160</v>
      </c>
      <c r="R471" s="8">
        <f>1.454*C471</f>
        <v>343.144</v>
      </c>
      <c r="S471" s="9">
        <f>E471*1.454*0.4</f>
        <v>125.62559999999999</v>
      </c>
      <c r="T471" s="9">
        <f>E471*1.454*0.2</f>
        <v>62.812799999999996</v>
      </c>
      <c r="U471" s="9">
        <f>E471*1.454*0.2</f>
        <v>62.812799999999996</v>
      </c>
      <c r="V471" s="9">
        <f>E471*1.454*0.2</f>
        <v>62.812799999999996</v>
      </c>
      <c r="W471" s="9">
        <f>H471*1.454</f>
        <v>0</v>
      </c>
      <c r="X471" s="9">
        <f>K471*1.454</f>
        <v>29.08</v>
      </c>
      <c r="Y471" s="4">
        <f t="shared" si="64"/>
        <v>125.62559999999999</v>
      </c>
    </row>
    <row r="472" spans="1:25" ht="12.75" customHeight="1" outlineLevel="2">
      <c r="A472" s="178">
        <v>1</v>
      </c>
      <c r="B472" s="162" t="s">
        <v>198</v>
      </c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4">
        <f t="shared" si="64"/>
        <v>0</v>
      </c>
    </row>
    <row r="473" spans="1:25" ht="18" outlineLevel="2">
      <c r="A473" s="178"/>
      <c r="B473" s="5">
        <f>D473+G473+J473</f>
        <v>58</v>
      </c>
      <c r="C473" s="8">
        <f>E473+H473+K473</f>
        <v>139.664</v>
      </c>
      <c r="D473" s="5">
        <v>58</v>
      </c>
      <c r="E473" s="8">
        <f>D473*FORECAST(D473,AA$12:AA$13,Z$12:Z$13)</f>
        <v>139.664</v>
      </c>
      <c r="F473" s="5" t="s">
        <v>433</v>
      </c>
      <c r="G473" s="5"/>
      <c r="H473" s="5"/>
      <c r="I473" s="5"/>
      <c r="J473" s="5"/>
      <c r="K473" s="5"/>
      <c r="L473" s="5"/>
      <c r="M473" s="5">
        <v>200</v>
      </c>
      <c r="N473" s="5">
        <v>1350</v>
      </c>
      <c r="O473" s="8">
        <f>C473/0.92</f>
        <v>151.8086956521739</v>
      </c>
      <c r="P473" s="5">
        <v>1</v>
      </c>
      <c r="Q473" s="5">
        <v>160</v>
      </c>
      <c r="R473" s="8">
        <f>1.454*C473</f>
        <v>203.07145599999998</v>
      </c>
      <c r="S473" s="9">
        <f>E473*1.454*0.4</f>
        <v>81.2285824</v>
      </c>
      <c r="T473" s="9">
        <f>E473*1.454*0.2</f>
        <v>40.6142912</v>
      </c>
      <c r="U473" s="9">
        <f>E473*1.454*0.2</f>
        <v>40.6142912</v>
      </c>
      <c r="V473" s="9">
        <f>E473*1.454*0.2</f>
        <v>40.6142912</v>
      </c>
      <c r="W473" s="9">
        <f>H473*1.454</f>
        <v>0</v>
      </c>
      <c r="X473" s="9">
        <f>K473*1.454</f>
        <v>0</v>
      </c>
      <c r="Y473" s="4">
        <f t="shared" si="64"/>
        <v>81.2285824</v>
      </c>
    </row>
    <row r="474" spans="1:25" ht="12.75" customHeight="1" outlineLevel="2">
      <c r="A474" s="178">
        <v>1</v>
      </c>
      <c r="B474" s="162" t="s">
        <v>199</v>
      </c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4">
        <f t="shared" si="64"/>
        <v>0</v>
      </c>
    </row>
    <row r="475" spans="1:25" ht="18" outlineLevel="2">
      <c r="A475" s="178"/>
      <c r="B475" s="5">
        <f>D475+G475+J475</f>
        <v>50</v>
      </c>
      <c r="C475" s="5">
        <f>E475+H475+K475</f>
        <v>126</v>
      </c>
      <c r="D475" s="5">
        <v>50</v>
      </c>
      <c r="E475" s="8">
        <f>D475*FORECAST(D475,AA$12:AA$13,Z$12:Z$13)</f>
        <v>126</v>
      </c>
      <c r="F475" s="5" t="s">
        <v>433</v>
      </c>
      <c r="G475" s="5"/>
      <c r="H475" s="5"/>
      <c r="I475" s="5"/>
      <c r="J475" s="5"/>
      <c r="K475" s="5"/>
      <c r="L475" s="5"/>
      <c r="M475" s="5">
        <v>200</v>
      </c>
      <c r="N475" s="5">
        <v>350</v>
      </c>
      <c r="O475" s="8">
        <f>C475/0.92</f>
        <v>136.95652173913044</v>
      </c>
      <c r="P475" s="5">
        <v>1</v>
      </c>
      <c r="Q475" s="5">
        <v>160</v>
      </c>
      <c r="R475" s="8">
        <f>1.454*C475</f>
        <v>183.204</v>
      </c>
      <c r="S475" s="9">
        <f>E475*1.454*0.4</f>
        <v>73.28160000000001</v>
      </c>
      <c r="T475" s="9">
        <f>E475*1.454*0.2</f>
        <v>36.640800000000006</v>
      </c>
      <c r="U475" s="9">
        <f>E475*1.454*0.2</f>
        <v>36.640800000000006</v>
      </c>
      <c r="V475" s="9">
        <f>E475*1.454*0.2</f>
        <v>36.640800000000006</v>
      </c>
      <c r="W475" s="9">
        <f>H475*1.454</f>
        <v>0</v>
      </c>
      <c r="X475" s="9">
        <f>K475*1.454</f>
        <v>0</v>
      </c>
      <c r="Y475" s="4">
        <f t="shared" si="64"/>
        <v>73.28160000000001</v>
      </c>
    </row>
    <row r="476" spans="1:25" ht="36" hidden="1" outlineLevel="1">
      <c r="A476" s="7" t="s">
        <v>434</v>
      </c>
      <c r="B476" s="7">
        <f>B459+B461+B463+B465+B467+B469+B471+B473+B475</f>
        <v>573</v>
      </c>
      <c r="C476" s="10">
        <f>C459+C461+C463+C465+C467+C469+C471+C473+C475</f>
        <v>1377.5328749999999</v>
      </c>
      <c r="D476" s="7">
        <f>D459+D461+D463+D465+D467+D469+D471+D473+D475</f>
        <v>567</v>
      </c>
      <c r="E476" s="10">
        <f>E459+E461+E463+E465+E467+E469+E471+E473+E475</f>
        <v>1347.5328749999999</v>
      </c>
      <c r="F476" s="7" t="s">
        <v>433</v>
      </c>
      <c r="G476" s="7">
        <f>G459+G461+G463+G465+G467+G469+G471+G473+G475</f>
        <v>0</v>
      </c>
      <c r="H476" s="7">
        <f>H459+H461+H463+H465+H467+H469+H471+H473+H475</f>
        <v>0</v>
      </c>
      <c r="I476" s="7" t="s">
        <v>441</v>
      </c>
      <c r="J476" s="7">
        <f>J459+J461+J463+J465+J467+J469+J471+J473+J475</f>
        <v>6</v>
      </c>
      <c r="K476" s="7">
        <f>K459+K461+K463+K465+K467+K469+K471+K473+K475</f>
        <v>30</v>
      </c>
      <c r="L476" s="7" t="s">
        <v>433</v>
      </c>
      <c r="M476" s="7">
        <f aca="true" t="shared" si="66" ref="M476:X476">M459+M461+M463+M465+M467+M469+M471+M473+M475</f>
        <v>1100</v>
      </c>
      <c r="N476" s="7">
        <f t="shared" si="66"/>
        <v>6500</v>
      </c>
      <c r="O476" s="10">
        <f t="shared" si="66"/>
        <v>1497.3183423913042</v>
      </c>
      <c r="P476" s="7">
        <f t="shared" si="66"/>
        <v>11</v>
      </c>
      <c r="Q476" s="7">
        <f t="shared" si="66"/>
        <v>1440</v>
      </c>
      <c r="R476" s="10">
        <f t="shared" si="66"/>
        <v>2002.93280025</v>
      </c>
      <c r="S476" s="10">
        <f t="shared" si="66"/>
        <v>783.7251200999999</v>
      </c>
      <c r="T476" s="10">
        <f t="shared" si="66"/>
        <v>391.86256004999996</v>
      </c>
      <c r="U476" s="10">
        <f t="shared" si="66"/>
        <v>391.86256004999996</v>
      </c>
      <c r="V476" s="10">
        <f t="shared" si="66"/>
        <v>391.86256004999996</v>
      </c>
      <c r="W476" s="10">
        <f t="shared" si="66"/>
        <v>0</v>
      </c>
      <c r="X476" s="10">
        <f t="shared" si="66"/>
        <v>43.62</v>
      </c>
      <c r="Y476" s="4">
        <f t="shared" si="64"/>
        <v>783.7251200999999</v>
      </c>
    </row>
    <row r="477" spans="1:25" ht="14.25" customHeight="1" outlineLevel="2">
      <c r="A477" s="178">
        <v>1</v>
      </c>
      <c r="B477" s="158" t="s">
        <v>200</v>
      </c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4">
        <f t="shared" si="64"/>
        <v>0</v>
      </c>
    </row>
    <row r="478" spans="1:25" ht="18" outlineLevel="2">
      <c r="A478" s="178"/>
      <c r="B478" s="5">
        <f>D478+G478+J478</f>
        <v>56</v>
      </c>
      <c r="C478" s="5">
        <f>E478+H478+K478</f>
        <v>144.75</v>
      </c>
      <c r="D478" s="5">
        <v>55</v>
      </c>
      <c r="E478" s="8">
        <f>D478*FORECAST(D478,AA$12:AA$13,Z$12:Z$13)</f>
        <v>134.75</v>
      </c>
      <c r="F478" s="5" t="s">
        <v>433</v>
      </c>
      <c r="G478" s="5"/>
      <c r="H478" s="5"/>
      <c r="I478" s="5"/>
      <c r="J478" s="5">
        <v>1</v>
      </c>
      <c r="K478" s="5">
        <v>10</v>
      </c>
      <c r="L478" s="5" t="s">
        <v>433</v>
      </c>
      <c r="M478" s="5">
        <v>100</v>
      </c>
      <c r="N478" s="5">
        <v>600</v>
      </c>
      <c r="O478" s="8">
        <f>C478/0.92</f>
        <v>157.33695652173913</v>
      </c>
      <c r="P478" s="5">
        <v>1</v>
      </c>
      <c r="Q478" s="5">
        <v>160</v>
      </c>
      <c r="R478" s="8">
        <f>1.454*C478</f>
        <v>210.4665</v>
      </c>
      <c r="S478" s="9">
        <f>E478*1.454*0.4</f>
        <v>78.37060000000001</v>
      </c>
      <c r="T478" s="9">
        <f>E478*1.454*0.2</f>
        <v>39.185300000000005</v>
      </c>
      <c r="U478" s="9">
        <f>E478*1.454*0.2</f>
        <v>39.185300000000005</v>
      </c>
      <c r="V478" s="9">
        <f>E478*1.454*0.2</f>
        <v>39.185300000000005</v>
      </c>
      <c r="W478" s="9">
        <f>H478*1.454</f>
        <v>0</v>
      </c>
      <c r="X478" s="9">
        <f>K478*1.454</f>
        <v>14.54</v>
      </c>
      <c r="Y478" s="4">
        <f t="shared" si="64"/>
        <v>78.37060000000001</v>
      </c>
    </row>
    <row r="479" spans="1:25" ht="14.25" customHeight="1" outlineLevel="2">
      <c r="A479" s="178">
        <v>1</v>
      </c>
      <c r="B479" s="158" t="s">
        <v>201</v>
      </c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4">
        <f t="shared" si="64"/>
        <v>0</v>
      </c>
    </row>
    <row r="480" spans="1:25" ht="18" outlineLevel="2">
      <c r="A480" s="178"/>
      <c r="B480" s="5">
        <f>D480+G480+J480</f>
        <v>48</v>
      </c>
      <c r="C480" s="5">
        <f>E480+H480+K480</f>
        <v>122.304</v>
      </c>
      <c r="D480" s="5">
        <v>48</v>
      </c>
      <c r="E480" s="8">
        <f>D480*FORECAST(D480,AA$12:AA$13,Z$12:Z$13)</f>
        <v>122.304</v>
      </c>
      <c r="F480" s="5" t="s">
        <v>433</v>
      </c>
      <c r="G480" s="5"/>
      <c r="H480" s="5"/>
      <c r="I480" s="5"/>
      <c r="J480" s="5"/>
      <c r="K480" s="5"/>
      <c r="L480" s="5"/>
      <c r="M480" s="5">
        <v>200</v>
      </c>
      <c r="N480" s="5">
        <v>200</v>
      </c>
      <c r="O480" s="8">
        <f>C480/0.92</f>
        <v>132.9391304347826</v>
      </c>
      <c r="P480" s="5">
        <v>1</v>
      </c>
      <c r="Q480" s="5">
        <v>160</v>
      </c>
      <c r="R480" s="8">
        <f>1.454*C480</f>
        <v>177.830016</v>
      </c>
      <c r="S480" s="9">
        <f>E480*1.454*0.4</f>
        <v>71.13200640000001</v>
      </c>
      <c r="T480" s="9">
        <f>E480*1.454*0.2</f>
        <v>35.566003200000004</v>
      </c>
      <c r="U480" s="9">
        <f>E480*1.454*0.2</f>
        <v>35.566003200000004</v>
      </c>
      <c r="V480" s="9">
        <f>E480*1.454*0.2</f>
        <v>35.566003200000004</v>
      </c>
      <c r="W480" s="9">
        <f>H480*1.454</f>
        <v>0</v>
      </c>
      <c r="X480" s="9">
        <f>K480*1.454</f>
        <v>0</v>
      </c>
      <c r="Y480" s="4">
        <f t="shared" si="64"/>
        <v>71.13200640000001</v>
      </c>
    </row>
    <row r="481" spans="1:25" ht="14.25" customHeight="1" outlineLevel="2">
      <c r="A481" s="178">
        <v>1</v>
      </c>
      <c r="B481" s="158" t="s">
        <v>202</v>
      </c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4">
        <f t="shared" si="64"/>
        <v>0</v>
      </c>
    </row>
    <row r="482" spans="1:25" ht="18" outlineLevel="2">
      <c r="A482" s="178"/>
      <c r="B482" s="5">
        <f>D482+G482+J482</f>
        <v>52</v>
      </c>
      <c r="C482" s="5">
        <f>E482+H482+K482</f>
        <v>129.584</v>
      </c>
      <c r="D482" s="5">
        <v>52</v>
      </c>
      <c r="E482" s="8">
        <f>D482*FORECAST(D482,AA$12:AA$13,Z$12:Z$13)</f>
        <v>129.584</v>
      </c>
      <c r="F482" s="5" t="s">
        <v>433</v>
      </c>
      <c r="G482" s="5"/>
      <c r="H482" s="5"/>
      <c r="I482" s="5"/>
      <c r="J482" s="5"/>
      <c r="K482" s="5"/>
      <c r="L482" s="5"/>
      <c r="M482" s="5"/>
      <c r="N482" s="5">
        <v>400</v>
      </c>
      <c r="O482" s="8">
        <f>C482/0.92</f>
        <v>140.8521739130435</v>
      </c>
      <c r="P482" s="5">
        <v>1</v>
      </c>
      <c r="Q482" s="5">
        <v>160</v>
      </c>
      <c r="R482" s="8">
        <f>1.454*C482</f>
        <v>188.415136</v>
      </c>
      <c r="S482" s="9">
        <f>E482*1.454*0.4</f>
        <v>75.3660544</v>
      </c>
      <c r="T482" s="9">
        <f>E482*1.454*0.2</f>
        <v>37.6830272</v>
      </c>
      <c r="U482" s="9">
        <f>E482*1.454*0.2</f>
        <v>37.6830272</v>
      </c>
      <c r="V482" s="9">
        <f>E482*1.454*0.2</f>
        <v>37.6830272</v>
      </c>
      <c r="W482" s="9">
        <f>H482*1.454</f>
        <v>0</v>
      </c>
      <c r="X482" s="9">
        <f>K482*1.454</f>
        <v>0</v>
      </c>
      <c r="Y482" s="4">
        <f t="shared" si="64"/>
        <v>75.3660544</v>
      </c>
    </row>
    <row r="483" spans="1:25" ht="14.25" customHeight="1" outlineLevel="2">
      <c r="A483" s="178">
        <v>1</v>
      </c>
      <c r="B483" s="158" t="s">
        <v>203</v>
      </c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4">
        <f t="shared" si="64"/>
        <v>0</v>
      </c>
    </row>
    <row r="484" spans="1:25" ht="18" outlineLevel="2">
      <c r="A484" s="178"/>
      <c r="B484" s="5">
        <f>D484+G484+J484</f>
        <v>58</v>
      </c>
      <c r="C484" s="5">
        <f>E484+H484+K484</f>
        <v>139.664</v>
      </c>
      <c r="D484" s="5">
        <v>58</v>
      </c>
      <c r="E484" s="8">
        <f>D484*FORECAST(D484,AA$12:AA$13,Z$12:Z$13)</f>
        <v>139.664</v>
      </c>
      <c r="F484" s="5" t="s">
        <v>433</v>
      </c>
      <c r="G484" s="5"/>
      <c r="H484" s="5"/>
      <c r="I484" s="5"/>
      <c r="J484" s="5"/>
      <c r="K484" s="5"/>
      <c r="L484" s="5"/>
      <c r="M484" s="5">
        <v>200</v>
      </c>
      <c r="N484" s="5">
        <v>400</v>
      </c>
      <c r="O484" s="8">
        <f>C484/0.92</f>
        <v>151.8086956521739</v>
      </c>
      <c r="P484" s="5">
        <v>1</v>
      </c>
      <c r="Q484" s="5">
        <v>160</v>
      </c>
      <c r="R484" s="8">
        <f>1.454*C484</f>
        <v>203.07145599999998</v>
      </c>
      <c r="S484" s="9">
        <f>E484*1.454*0.4</f>
        <v>81.2285824</v>
      </c>
      <c r="T484" s="9">
        <f>E484*1.454*0.2</f>
        <v>40.6142912</v>
      </c>
      <c r="U484" s="9">
        <f>E484*1.454*0.2</f>
        <v>40.6142912</v>
      </c>
      <c r="V484" s="9">
        <f>E484*1.454*0.2</f>
        <v>40.6142912</v>
      </c>
      <c r="W484" s="9">
        <f>H484*1.454</f>
        <v>0</v>
      </c>
      <c r="X484" s="9">
        <f>K484*1.454</f>
        <v>0</v>
      </c>
      <c r="Y484" s="4">
        <f t="shared" si="64"/>
        <v>81.2285824</v>
      </c>
    </row>
    <row r="485" spans="1:25" ht="26.25" customHeight="1" hidden="1" outlineLevel="1">
      <c r="A485" s="7" t="s">
        <v>435</v>
      </c>
      <c r="B485" s="7">
        <f>B478+B480+B482+B484</f>
        <v>214</v>
      </c>
      <c r="C485" s="7">
        <f>C478+C480+C482+C484</f>
        <v>536.3019999999999</v>
      </c>
      <c r="D485" s="7">
        <f>D478+D480+D482+D484</f>
        <v>213</v>
      </c>
      <c r="E485" s="7">
        <f>E478+E480+E482+E484</f>
        <v>526.3019999999999</v>
      </c>
      <c r="F485" s="7" t="s">
        <v>433</v>
      </c>
      <c r="G485" s="7">
        <f>G478+G480+G482+G484</f>
        <v>0</v>
      </c>
      <c r="H485" s="7">
        <f>H478+H480+H482+H484</f>
        <v>0</v>
      </c>
      <c r="I485" s="7" t="s">
        <v>441</v>
      </c>
      <c r="J485" s="7">
        <f>J478+J480+J482+J484</f>
        <v>1</v>
      </c>
      <c r="K485" s="7">
        <f>K478+K480+K482+K484</f>
        <v>10</v>
      </c>
      <c r="L485" s="7" t="s">
        <v>433</v>
      </c>
      <c r="M485" s="7">
        <f aca="true" t="shared" si="67" ref="M485:X485">M478+M480+M482+M484</f>
        <v>500</v>
      </c>
      <c r="N485" s="7">
        <f t="shared" si="67"/>
        <v>1600</v>
      </c>
      <c r="O485" s="10">
        <f t="shared" si="67"/>
        <v>582.9369565217391</v>
      </c>
      <c r="P485" s="7">
        <f t="shared" si="67"/>
        <v>4</v>
      </c>
      <c r="Q485" s="7">
        <f t="shared" si="67"/>
        <v>640</v>
      </c>
      <c r="R485" s="10">
        <f t="shared" si="67"/>
        <v>779.783108</v>
      </c>
      <c r="S485" s="10">
        <f t="shared" si="67"/>
        <v>306.0972432</v>
      </c>
      <c r="T485" s="10">
        <f t="shared" si="67"/>
        <v>153.0486216</v>
      </c>
      <c r="U485" s="10">
        <f t="shared" si="67"/>
        <v>153.0486216</v>
      </c>
      <c r="V485" s="10">
        <f t="shared" si="67"/>
        <v>153.0486216</v>
      </c>
      <c r="W485" s="10">
        <f t="shared" si="67"/>
        <v>0</v>
      </c>
      <c r="X485" s="10">
        <f t="shared" si="67"/>
        <v>14.54</v>
      </c>
      <c r="Y485" s="4">
        <f t="shared" si="64"/>
        <v>306.0972432</v>
      </c>
    </row>
    <row r="486" spans="1:25" ht="14.25" customHeight="1" outlineLevel="2">
      <c r="A486" s="178">
        <v>1</v>
      </c>
      <c r="B486" s="158" t="s">
        <v>204</v>
      </c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4">
        <f t="shared" si="64"/>
        <v>0</v>
      </c>
    </row>
    <row r="487" spans="1:25" ht="18" outlineLevel="2">
      <c r="A487" s="178"/>
      <c r="B487" s="5">
        <f>D487+G487+J487</f>
        <v>90</v>
      </c>
      <c r="C487" s="8">
        <f>E487+H487+K487</f>
        <v>199.35</v>
      </c>
      <c r="D487" s="5">
        <v>90</v>
      </c>
      <c r="E487" s="8">
        <f>D487*FORECAST(D487,AA$13:AA$14,Z$13:Z$14)</f>
        <v>199.35</v>
      </c>
      <c r="F487" s="5" t="s">
        <v>433</v>
      </c>
      <c r="G487" s="5"/>
      <c r="H487" s="5"/>
      <c r="I487" s="5"/>
      <c r="J487" s="5"/>
      <c r="K487" s="5"/>
      <c r="L487" s="5"/>
      <c r="M487" s="5">
        <v>300</v>
      </c>
      <c r="N487" s="5">
        <v>500</v>
      </c>
      <c r="O487" s="8">
        <f>C487/0.92</f>
        <v>216.68478260869563</v>
      </c>
      <c r="P487" s="5">
        <v>1</v>
      </c>
      <c r="Q487" s="5">
        <v>160</v>
      </c>
      <c r="R487" s="8">
        <f>1.454*C487</f>
        <v>289.8549</v>
      </c>
      <c r="S487" s="9">
        <f>E487*1.454*0.4</f>
        <v>115.94196</v>
      </c>
      <c r="T487" s="9">
        <f>E487*1.454*0.2</f>
        <v>57.97098</v>
      </c>
      <c r="U487" s="9">
        <f>E487*1.454*0.2</f>
        <v>57.97098</v>
      </c>
      <c r="V487" s="9">
        <f>E487*1.454*0.2</f>
        <v>57.97098</v>
      </c>
      <c r="W487" s="9">
        <f>H487*1.454</f>
        <v>0</v>
      </c>
      <c r="X487" s="9">
        <f>K487*1.454</f>
        <v>0</v>
      </c>
      <c r="Y487" s="4">
        <f t="shared" si="64"/>
        <v>115.94196</v>
      </c>
    </row>
    <row r="488" spans="1:25" ht="14.25" customHeight="1" outlineLevel="2">
      <c r="A488" s="178">
        <v>1</v>
      </c>
      <c r="B488" s="158" t="s">
        <v>205</v>
      </c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4">
        <f t="shared" si="64"/>
        <v>0</v>
      </c>
    </row>
    <row r="489" spans="1:25" ht="18" outlineLevel="2">
      <c r="A489" s="178"/>
      <c r="B489" s="5">
        <f>D489+G489+J489</f>
        <v>50</v>
      </c>
      <c r="C489" s="5">
        <f>E489+H489+K489</f>
        <v>126</v>
      </c>
      <c r="D489" s="5">
        <v>50</v>
      </c>
      <c r="E489" s="8">
        <f>D489*FORECAST(D489,AA$12:AA$13,Z$12:Z$13)</f>
        <v>126</v>
      </c>
      <c r="F489" s="5" t="s">
        <v>433</v>
      </c>
      <c r="G489" s="5"/>
      <c r="H489" s="5"/>
      <c r="I489" s="5"/>
      <c r="J489" s="5"/>
      <c r="K489" s="5"/>
      <c r="L489" s="5"/>
      <c r="M489" s="5">
        <v>300</v>
      </c>
      <c r="N489" s="5">
        <v>200</v>
      </c>
      <c r="O489" s="8">
        <f>C489/0.92</f>
        <v>136.95652173913044</v>
      </c>
      <c r="P489" s="5">
        <v>1</v>
      </c>
      <c r="Q489" s="5">
        <v>160</v>
      </c>
      <c r="R489" s="8">
        <f>1.454*C489</f>
        <v>183.204</v>
      </c>
      <c r="S489" s="9">
        <f>E489*1.454*0.4</f>
        <v>73.28160000000001</v>
      </c>
      <c r="T489" s="9">
        <f>E489*1.454*0.2</f>
        <v>36.640800000000006</v>
      </c>
      <c r="U489" s="9">
        <f>E489*1.454*0.2</f>
        <v>36.640800000000006</v>
      </c>
      <c r="V489" s="9">
        <f>E489*1.454*0.2</f>
        <v>36.640800000000006</v>
      </c>
      <c r="W489" s="9">
        <f>H489*1.454</f>
        <v>0</v>
      </c>
      <c r="X489" s="9">
        <f>K489*1.454</f>
        <v>0</v>
      </c>
      <c r="Y489" s="4">
        <f t="shared" si="64"/>
        <v>73.28160000000001</v>
      </c>
    </row>
    <row r="490" spans="1:25" ht="14.25" customHeight="1" outlineLevel="2">
      <c r="A490" s="178">
        <v>1</v>
      </c>
      <c r="B490" s="158" t="s">
        <v>206</v>
      </c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4">
        <f t="shared" si="64"/>
        <v>0</v>
      </c>
    </row>
    <row r="491" spans="1:25" ht="18" outlineLevel="2">
      <c r="A491" s="178"/>
      <c r="B491" s="5">
        <f>D491+G491+J491</f>
        <v>40</v>
      </c>
      <c r="C491" s="5">
        <f>E491+H491+K491</f>
        <v>106.4</v>
      </c>
      <c r="D491" s="5">
        <v>40</v>
      </c>
      <c r="E491" s="8">
        <f>D491*FORECAST(D491,AA$12:AA$13,Z$12:Z$13)</f>
        <v>106.4</v>
      </c>
      <c r="F491" s="5" t="s">
        <v>433</v>
      </c>
      <c r="G491" s="5"/>
      <c r="H491" s="5"/>
      <c r="I491" s="5"/>
      <c r="J491" s="5"/>
      <c r="K491" s="5"/>
      <c r="L491" s="5"/>
      <c r="M491" s="5"/>
      <c r="N491" s="5">
        <v>400</v>
      </c>
      <c r="O491" s="8">
        <f>C491/0.92</f>
        <v>115.65217391304348</v>
      </c>
      <c r="P491" s="5">
        <v>1</v>
      </c>
      <c r="Q491" s="5">
        <v>160</v>
      </c>
      <c r="R491" s="8">
        <f>1.454*C491</f>
        <v>154.7056</v>
      </c>
      <c r="S491" s="9">
        <f>E491*1.454*0.4</f>
        <v>61.88224</v>
      </c>
      <c r="T491" s="9">
        <f>E491*1.454*0.2</f>
        <v>30.94112</v>
      </c>
      <c r="U491" s="9">
        <f>E491*1.454*0.2</f>
        <v>30.94112</v>
      </c>
      <c r="V491" s="9">
        <f>E491*1.454*0.2</f>
        <v>30.94112</v>
      </c>
      <c r="W491" s="9">
        <f>H491*1.454</f>
        <v>0</v>
      </c>
      <c r="X491" s="9">
        <f>K491*1.454</f>
        <v>0</v>
      </c>
      <c r="Y491" s="4">
        <f t="shared" si="64"/>
        <v>61.88224</v>
      </c>
    </row>
    <row r="492" spans="1:25" ht="36" hidden="1" outlineLevel="1">
      <c r="A492" s="7" t="s">
        <v>436</v>
      </c>
      <c r="B492" s="7">
        <f>B487+B489+B491</f>
        <v>180</v>
      </c>
      <c r="C492" s="10">
        <f>C487+C489+C491</f>
        <v>431.75</v>
      </c>
      <c r="D492" s="7">
        <f>D487+D489+D491</f>
        <v>180</v>
      </c>
      <c r="E492" s="10">
        <f>E487+E489+E491</f>
        <v>431.75</v>
      </c>
      <c r="F492" s="7" t="s">
        <v>433</v>
      </c>
      <c r="G492" s="7">
        <f>G487+G489+G491</f>
        <v>0</v>
      </c>
      <c r="H492" s="7">
        <f>H487+H489+H491</f>
        <v>0</v>
      </c>
      <c r="I492" s="7" t="s">
        <v>441</v>
      </c>
      <c r="J492" s="7">
        <f>J487+J489+J491</f>
        <v>0</v>
      </c>
      <c r="K492" s="7">
        <f>K487+K489+K491</f>
        <v>0</v>
      </c>
      <c r="L492" s="7" t="s">
        <v>441</v>
      </c>
      <c r="M492" s="7">
        <f aca="true" t="shared" si="68" ref="M492:X492">M487+M489+M491</f>
        <v>600</v>
      </c>
      <c r="N492" s="7">
        <f t="shared" si="68"/>
        <v>1100</v>
      </c>
      <c r="O492" s="10">
        <f t="shared" si="68"/>
        <v>469.29347826086956</v>
      </c>
      <c r="P492" s="7">
        <f t="shared" si="68"/>
        <v>3</v>
      </c>
      <c r="Q492" s="7">
        <f t="shared" si="68"/>
        <v>480</v>
      </c>
      <c r="R492" s="10">
        <f t="shared" si="68"/>
        <v>627.7645</v>
      </c>
      <c r="S492" s="10">
        <f t="shared" si="68"/>
        <v>251.10580000000002</v>
      </c>
      <c r="T492" s="10">
        <f t="shared" si="68"/>
        <v>125.55290000000001</v>
      </c>
      <c r="U492" s="10">
        <f t="shared" si="68"/>
        <v>125.55290000000001</v>
      </c>
      <c r="V492" s="10">
        <f t="shared" si="68"/>
        <v>125.55290000000001</v>
      </c>
      <c r="W492" s="10">
        <f t="shared" si="68"/>
        <v>0</v>
      </c>
      <c r="X492" s="10">
        <f t="shared" si="68"/>
        <v>0</v>
      </c>
      <c r="Y492" s="4">
        <f t="shared" si="64"/>
        <v>251.10580000000002</v>
      </c>
    </row>
    <row r="493" spans="1:25" ht="14.25" customHeight="1" outlineLevel="2">
      <c r="A493" s="178">
        <v>1</v>
      </c>
      <c r="B493" s="158" t="s">
        <v>207</v>
      </c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4">
        <f t="shared" si="64"/>
        <v>0</v>
      </c>
    </row>
    <row r="494" spans="1:25" ht="18" outlineLevel="2">
      <c r="A494" s="178"/>
      <c r="B494" s="5">
        <f>D494+G494+J494</f>
        <v>77</v>
      </c>
      <c r="C494" s="8">
        <f>E494+H494+K494</f>
        <v>182.3125</v>
      </c>
      <c r="D494" s="5">
        <v>75</v>
      </c>
      <c r="E494" s="8">
        <f>D494*FORECAST(D494,AA$13:AA$14,Z$13:Z$14)</f>
        <v>172.3125</v>
      </c>
      <c r="F494" s="5" t="s">
        <v>433</v>
      </c>
      <c r="G494" s="5"/>
      <c r="H494" s="5"/>
      <c r="I494" s="5"/>
      <c r="J494" s="5">
        <v>2</v>
      </c>
      <c r="K494" s="5">
        <v>10</v>
      </c>
      <c r="L494" s="5" t="s">
        <v>433</v>
      </c>
      <c r="M494" s="5">
        <v>100</v>
      </c>
      <c r="N494" s="5">
        <v>600</v>
      </c>
      <c r="O494" s="8">
        <f>C494/0.92</f>
        <v>198.16576086956522</v>
      </c>
      <c r="P494" s="5">
        <v>1</v>
      </c>
      <c r="Q494" s="5">
        <v>160</v>
      </c>
      <c r="R494" s="8">
        <f>1.454*C494</f>
        <v>265.082375</v>
      </c>
      <c r="S494" s="9">
        <f>E494*1.454*0.4</f>
        <v>100.21695</v>
      </c>
      <c r="T494" s="9">
        <f>E494*1.454*0.2</f>
        <v>50.108475</v>
      </c>
      <c r="U494" s="9">
        <f>E494*1.454*0.2</f>
        <v>50.108475</v>
      </c>
      <c r="V494" s="9">
        <f>E494*1.454*0.2</f>
        <v>50.108475</v>
      </c>
      <c r="W494" s="9">
        <f>H494*1.454</f>
        <v>0</v>
      </c>
      <c r="X494" s="9">
        <f>K494*1.454</f>
        <v>14.54</v>
      </c>
      <c r="Y494" s="4">
        <f t="shared" si="64"/>
        <v>100.21695</v>
      </c>
    </row>
    <row r="495" spans="1:25" ht="14.25" customHeight="1" outlineLevel="2">
      <c r="A495" s="178">
        <v>1</v>
      </c>
      <c r="B495" s="158" t="s">
        <v>208</v>
      </c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4">
        <f t="shared" si="64"/>
        <v>0</v>
      </c>
    </row>
    <row r="496" spans="1:25" ht="18" outlineLevel="2">
      <c r="A496" s="178"/>
      <c r="B496" s="5">
        <f>D496+G496+J496</f>
        <v>30</v>
      </c>
      <c r="C496" s="8">
        <f>E496+H496+K496</f>
        <v>92.73749999999998</v>
      </c>
      <c r="D496" s="5">
        <v>30</v>
      </c>
      <c r="E496" s="8">
        <f>D496*FORECAST(D496,AA$11:AA$12,Z$11:Z$12)</f>
        <v>92.73749999999998</v>
      </c>
      <c r="F496" s="5" t="s">
        <v>433</v>
      </c>
      <c r="G496" s="5"/>
      <c r="H496" s="5"/>
      <c r="I496" s="5"/>
      <c r="J496" s="5"/>
      <c r="K496" s="5"/>
      <c r="L496" s="5"/>
      <c r="M496" s="5">
        <v>100</v>
      </c>
      <c r="N496" s="5">
        <v>200</v>
      </c>
      <c r="O496" s="8">
        <f>C496/0.92</f>
        <v>100.80163043478258</v>
      </c>
      <c r="P496" s="5">
        <v>1</v>
      </c>
      <c r="Q496" s="5">
        <v>160</v>
      </c>
      <c r="R496" s="8">
        <f>1.454*C496</f>
        <v>134.84032499999998</v>
      </c>
      <c r="S496" s="9">
        <f>E496*1.454*0.4</f>
        <v>53.93612999999999</v>
      </c>
      <c r="T496" s="9">
        <f>E496*1.454*0.2</f>
        <v>26.968064999999996</v>
      </c>
      <c r="U496" s="9">
        <f>E496*1.454*0.2</f>
        <v>26.968064999999996</v>
      </c>
      <c r="V496" s="9">
        <f>E496*1.454*0.2</f>
        <v>26.968064999999996</v>
      </c>
      <c r="W496" s="9">
        <f>H496*1.454</f>
        <v>0</v>
      </c>
      <c r="X496" s="9">
        <f>K496*1.454</f>
        <v>0</v>
      </c>
      <c r="Y496" s="4">
        <f t="shared" si="64"/>
        <v>53.93612999999999</v>
      </c>
    </row>
    <row r="497" spans="1:25" ht="14.25" customHeight="1" outlineLevel="2">
      <c r="A497" s="178">
        <v>1</v>
      </c>
      <c r="B497" s="158" t="s">
        <v>209</v>
      </c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4">
        <f t="shared" si="64"/>
        <v>0</v>
      </c>
    </row>
    <row r="498" spans="1:25" ht="18" outlineLevel="2">
      <c r="A498" s="178"/>
      <c r="B498" s="5">
        <f>D498+G498+J498</f>
        <v>144</v>
      </c>
      <c r="C498" s="5">
        <f>E498+H498+K498</f>
        <v>331.2</v>
      </c>
      <c r="D498" s="5">
        <v>140</v>
      </c>
      <c r="E498" s="8">
        <f>D498*FORECAST(D498,AA$14:AA$15,Z$14:Z$15)</f>
        <v>291.2</v>
      </c>
      <c r="F498" s="5" t="s">
        <v>433</v>
      </c>
      <c r="G498" s="5"/>
      <c r="H498" s="5"/>
      <c r="I498" s="5"/>
      <c r="J498" s="5">
        <v>4</v>
      </c>
      <c r="K498" s="5">
        <v>40</v>
      </c>
      <c r="L498" s="5" t="s">
        <v>433</v>
      </c>
      <c r="M498" s="5">
        <v>200</v>
      </c>
      <c r="N498" s="5">
        <v>1200</v>
      </c>
      <c r="O498" s="8">
        <f>C498/0.92</f>
        <v>360</v>
      </c>
      <c r="P498" s="5">
        <v>1</v>
      </c>
      <c r="Q498" s="5">
        <v>160</v>
      </c>
      <c r="R498" s="8">
        <f>1.454*C498</f>
        <v>481.5648</v>
      </c>
      <c r="S498" s="9">
        <f>E498*1.454*0.4</f>
        <v>169.36192</v>
      </c>
      <c r="T498" s="9">
        <f>E498*1.454*0.2</f>
        <v>84.68096</v>
      </c>
      <c r="U498" s="9">
        <f>E498*1.454*0.2</f>
        <v>84.68096</v>
      </c>
      <c r="V498" s="9">
        <f>E498*1.454*0.2</f>
        <v>84.68096</v>
      </c>
      <c r="W498" s="9">
        <f>H498*1.454</f>
        <v>0</v>
      </c>
      <c r="X498" s="9">
        <f>K498*1.454</f>
        <v>58.16</v>
      </c>
      <c r="Y498" s="4">
        <f t="shared" si="64"/>
        <v>169.36192</v>
      </c>
    </row>
    <row r="499" spans="1:25" ht="36" outlineLevel="1">
      <c r="A499" s="7" t="s">
        <v>437</v>
      </c>
      <c r="B499" s="7">
        <f>B494+B496+B498+B476+B485+B492</f>
        <v>1218</v>
      </c>
      <c r="C499" s="10">
        <f aca="true" t="shared" si="69" ref="C499:W499">C494+C496+C498+C476+C485+C492</f>
        <v>2951.8348749999996</v>
      </c>
      <c r="D499" s="7">
        <f t="shared" si="69"/>
        <v>1205</v>
      </c>
      <c r="E499" s="10">
        <f t="shared" si="69"/>
        <v>2861.8348749999996</v>
      </c>
      <c r="F499" s="7" t="s">
        <v>433</v>
      </c>
      <c r="G499" s="7">
        <f t="shared" si="69"/>
        <v>0</v>
      </c>
      <c r="H499" s="7">
        <f t="shared" si="69"/>
        <v>0</v>
      </c>
      <c r="I499" s="7" t="s">
        <v>699</v>
      </c>
      <c r="J499" s="7">
        <f t="shared" si="69"/>
        <v>13</v>
      </c>
      <c r="K499" s="7">
        <f t="shared" si="69"/>
        <v>90</v>
      </c>
      <c r="L499" s="7" t="s">
        <v>433</v>
      </c>
      <c r="M499" s="7">
        <f t="shared" si="69"/>
        <v>2600</v>
      </c>
      <c r="N499" s="7">
        <f t="shared" si="69"/>
        <v>11200</v>
      </c>
      <c r="O499" s="7">
        <f t="shared" si="69"/>
        <v>3208.516168478261</v>
      </c>
      <c r="P499" s="7">
        <f t="shared" si="69"/>
        <v>21</v>
      </c>
      <c r="Q499" s="7">
        <f t="shared" si="69"/>
        <v>3040</v>
      </c>
      <c r="R499" s="10">
        <f t="shared" si="69"/>
        <v>4291.96790825</v>
      </c>
      <c r="S499" s="10">
        <f t="shared" si="69"/>
        <v>1664.4431632999997</v>
      </c>
      <c r="T499" s="10">
        <f t="shared" si="69"/>
        <v>832.2215816499998</v>
      </c>
      <c r="U499" s="10">
        <f t="shared" si="69"/>
        <v>832.2215816499998</v>
      </c>
      <c r="V499" s="10">
        <f t="shared" si="69"/>
        <v>832.2215816499998</v>
      </c>
      <c r="W499" s="7">
        <f t="shared" si="69"/>
        <v>0</v>
      </c>
      <c r="X499" s="10">
        <f>X494+X496+X498+X476+X485+X492</f>
        <v>130.85999999999999</v>
      </c>
      <c r="Y499" s="4">
        <f t="shared" si="64"/>
        <v>1664.4431632999997</v>
      </c>
    </row>
    <row r="500" spans="1:25" ht="14.25" customHeight="1" outlineLevel="1">
      <c r="A500" s="149" t="s">
        <v>432</v>
      </c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4">
        <f t="shared" si="64"/>
        <v>0</v>
      </c>
    </row>
    <row r="501" spans="1:25" ht="14.25" customHeight="1" outlineLevel="2">
      <c r="A501" s="178">
        <v>1</v>
      </c>
      <c r="B501" s="158" t="s">
        <v>210</v>
      </c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4">
        <f t="shared" si="64"/>
        <v>0</v>
      </c>
    </row>
    <row r="502" spans="1:25" ht="18" outlineLevel="2">
      <c r="A502" s="178"/>
      <c r="B502" s="5">
        <f>D502+G502+J502</f>
        <v>48</v>
      </c>
      <c r="C502" s="8">
        <f>E502+H502+K502</f>
        <v>122.304</v>
      </c>
      <c r="D502" s="5">
        <v>48</v>
      </c>
      <c r="E502" s="8">
        <f>D502*FORECAST(D502,AA$12:AA$13,Z$12:Z$13)</f>
        <v>122.304</v>
      </c>
      <c r="F502" s="5" t="s">
        <v>433</v>
      </c>
      <c r="G502" s="5"/>
      <c r="H502" s="5"/>
      <c r="I502" s="5"/>
      <c r="J502" s="5"/>
      <c r="K502" s="5"/>
      <c r="L502" s="5"/>
      <c r="M502" s="5">
        <v>100</v>
      </c>
      <c r="N502" s="5">
        <v>650</v>
      </c>
      <c r="O502" s="8">
        <f>C502/0.92</f>
        <v>132.9391304347826</v>
      </c>
      <c r="P502" s="5">
        <v>1</v>
      </c>
      <c r="Q502" s="5">
        <v>160</v>
      </c>
      <c r="R502" s="8">
        <f>1.454*C502</f>
        <v>177.830016</v>
      </c>
      <c r="S502" s="9">
        <f>E502*1.454*0.4</f>
        <v>71.13200640000001</v>
      </c>
      <c r="T502" s="9">
        <f>E502*1.454*0.2</f>
        <v>35.566003200000004</v>
      </c>
      <c r="U502" s="9">
        <f>E502*1.454*0.2</f>
        <v>35.566003200000004</v>
      </c>
      <c r="V502" s="9">
        <f>E502*1.454*0.2</f>
        <v>35.566003200000004</v>
      </c>
      <c r="W502" s="9">
        <f>H502*1.454</f>
        <v>0</v>
      </c>
      <c r="X502" s="9">
        <f>K502*1.454</f>
        <v>0</v>
      </c>
      <c r="Y502" s="4">
        <f t="shared" si="64"/>
        <v>71.13200640000001</v>
      </c>
    </row>
    <row r="503" spans="1:25" ht="14.25" customHeight="1" outlineLevel="2">
      <c r="A503" s="178">
        <v>1</v>
      </c>
      <c r="B503" s="158" t="s">
        <v>211</v>
      </c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4">
        <f t="shared" si="64"/>
        <v>0</v>
      </c>
    </row>
    <row r="504" spans="1:25" ht="18" outlineLevel="2">
      <c r="A504" s="178"/>
      <c r="B504" s="5">
        <f>D504+G504+J504</f>
        <v>30</v>
      </c>
      <c r="C504" s="8">
        <f>E504+H504+K504</f>
        <v>92.73749999999998</v>
      </c>
      <c r="D504" s="5">
        <v>30</v>
      </c>
      <c r="E504" s="8">
        <f>D504*FORECAST(D504,AA$11:AA$12,Z$11:Z$12)</f>
        <v>92.73749999999998</v>
      </c>
      <c r="F504" s="5" t="s">
        <v>433</v>
      </c>
      <c r="G504" s="5"/>
      <c r="H504" s="5"/>
      <c r="I504" s="5"/>
      <c r="J504" s="5"/>
      <c r="K504" s="5"/>
      <c r="L504" s="5"/>
      <c r="M504" s="5">
        <v>50</v>
      </c>
      <c r="N504" s="5">
        <v>400</v>
      </c>
      <c r="O504" s="8">
        <f>C504/0.92</f>
        <v>100.80163043478258</v>
      </c>
      <c r="P504" s="5">
        <v>1</v>
      </c>
      <c r="Q504" s="5">
        <v>160</v>
      </c>
      <c r="R504" s="8">
        <f>1.454*C504</f>
        <v>134.84032499999998</v>
      </c>
      <c r="S504" s="9">
        <f>E504*1.454*0.4</f>
        <v>53.93612999999999</v>
      </c>
      <c r="T504" s="9">
        <f>E504*1.454*0.2</f>
        <v>26.968064999999996</v>
      </c>
      <c r="U504" s="9">
        <f>E504*1.454*0.2</f>
        <v>26.968064999999996</v>
      </c>
      <c r="V504" s="9">
        <f>E504*1.454*0.2</f>
        <v>26.968064999999996</v>
      </c>
      <c r="W504" s="9">
        <f>H504*1.454</f>
        <v>0</v>
      </c>
      <c r="X504" s="9">
        <f>K504*1.454</f>
        <v>0</v>
      </c>
      <c r="Y504" s="4">
        <f t="shared" si="64"/>
        <v>53.93612999999999</v>
      </c>
    </row>
    <row r="505" spans="1:25" ht="14.25" customHeight="1" outlineLevel="2">
      <c r="A505" s="178">
        <v>1</v>
      </c>
      <c r="B505" s="158" t="s">
        <v>212</v>
      </c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4">
        <f t="shared" si="64"/>
        <v>0</v>
      </c>
    </row>
    <row r="506" spans="1:25" ht="18" outlineLevel="2">
      <c r="A506" s="178"/>
      <c r="B506" s="5">
        <f>D506+G506+J506</f>
        <v>25</v>
      </c>
      <c r="C506" s="8">
        <f>E506+H506+K506</f>
        <v>82.671875</v>
      </c>
      <c r="D506" s="5">
        <v>25</v>
      </c>
      <c r="E506" s="8">
        <f>D506*FORECAST(D506,AA$11:AA$12,Z$11:Z$12)</f>
        <v>82.671875</v>
      </c>
      <c r="F506" s="5" t="s">
        <v>433</v>
      </c>
      <c r="G506" s="5"/>
      <c r="H506" s="5"/>
      <c r="I506" s="5"/>
      <c r="J506" s="5"/>
      <c r="K506" s="5"/>
      <c r="L506" s="5"/>
      <c r="M506" s="5"/>
      <c r="N506" s="5">
        <v>200</v>
      </c>
      <c r="O506" s="8">
        <f>C506/0.92</f>
        <v>89.86073369565217</v>
      </c>
      <c r="P506" s="5"/>
      <c r="Q506" s="5"/>
      <c r="R506" s="8">
        <f>1.454*C506</f>
        <v>120.20490625</v>
      </c>
      <c r="S506" s="9">
        <f>E506*1.454*0.4</f>
        <v>48.0819625</v>
      </c>
      <c r="T506" s="9">
        <f>E506*1.454*0.2</f>
        <v>24.04098125</v>
      </c>
      <c r="U506" s="9">
        <f>E506*1.454*0.2</f>
        <v>24.04098125</v>
      </c>
      <c r="V506" s="9">
        <f>E506*1.454*0.2</f>
        <v>24.04098125</v>
      </c>
      <c r="W506" s="9">
        <f>H506*1.454</f>
        <v>0</v>
      </c>
      <c r="X506" s="9">
        <f>K506*1.454</f>
        <v>0</v>
      </c>
      <c r="Y506" s="4">
        <f t="shared" si="64"/>
        <v>48.0819625</v>
      </c>
    </row>
    <row r="507" spans="1:25" ht="39" customHeight="1" outlineLevel="1">
      <c r="A507" s="7" t="s">
        <v>438</v>
      </c>
      <c r="B507" s="7">
        <f>B502+B504+B506</f>
        <v>103</v>
      </c>
      <c r="C507" s="10">
        <f>C502+C504+C506</f>
        <v>297.713375</v>
      </c>
      <c r="D507" s="7">
        <f>D502+D504+D506</f>
        <v>103</v>
      </c>
      <c r="E507" s="10">
        <f>E502+E504+E506</f>
        <v>297.713375</v>
      </c>
      <c r="F507" s="7" t="s">
        <v>433</v>
      </c>
      <c r="G507" s="7">
        <f>G502+G504+G506</f>
        <v>0</v>
      </c>
      <c r="H507" s="7">
        <f>H502+H504+H506</f>
        <v>0</v>
      </c>
      <c r="I507" s="7" t="s">
        <v>441</v>
      </c>
      <c r="J507" s="7">
        <f>J502+J504+J506</f>
        <v>0</v>
      </c>
      <c r="K507" s="7">
        <f>K502+K504+K506</f>
        <v>0</v>
      </c>
      <c r="L507" s="7" t="s">
        <v>441</v>
      </c>
      <c r="M507" s="7">
        <f aca="true" t="shared" si="70" ref="M507:X507">M502+M504+M506</f>
        <v>150</v>
      </c>
      <c r="N507" s="7">
        <f t="shared" si="70"/>
        <v>1250</v>
      </c>
      <c r="O507" s="10">
        <f t="shared" si="70"/>
        <v>323.60149456521737</v>
      </c>
      <c r="P507" s="7">
        <f t="shared" si="70"/>
        <v>2</v>
      </c>
      <c r="Q507" s="7">
        <f t="shared" si="70"/>
        <v>320</v>
      </c>
      <c r="R507" s="10">
        <f t="shared" si="70"/>
        <v>432.87524725000003</v>
      </c>
      <c r="S507" s="10">
        <f t="shared" si="70"/>
        <v>173.1500989</v>
      </c>
      <c r="T507" s="10">
        <f t="shared" si="70"/>
        <v>86.57504945</v>
      </c>
      <c r="U507" s="10">
        <f t="shared" si="70"/>
        <v>86.57504945</v>
      </c>
      <c r="V507" s="10">
        <f t="shared" si="70"/>
        <v>86.57504945</v>
      </c>
      <c r="W507" s="10">
        <f t="shared" si="70"/>
        <v>0</v>
      </c>
      <c r="X507" s="10">
        <f t="shared" si="70"/>
        <v>0</v>
      </c>
      <c r="Y507" s="4">
        <f t="shared" si="64"/>
        <v>173.1500989</v>
      </c>
    </row>
    <row r="508" spans="1:24" s="59" customFormat="1" ht="15" customHeight="1">
      <c r="A508" s="149" t="s">
        <v>439</v>
      </c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</row>
    <row r="509" spans="1:24" s="59" customFormat="1" ht="25.5" customHeight="1">
      <c r="A509" s="158" t="s">
        <v>700</v>
      </c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</row>
    <row r="510" spans="1:24" s="59" customFormat="1" ht="15.75" customHeight="1">
      <c r="A510" s="29">
        <v>1</v>
      </c>
      <c r="B510" s="8">
        <v>50</v>
      </c>
      <c r="C510" s="8">
        <v>126</v>
      </c>
      <c r="D510" s="8">
        <v>50</v>
      </c>
      <c r="E510" s="8">
        <v>126</v>
      </c>
      <c r="F510" s="8" t="s">
        <v>701</v>
      </c>
      <c r="G510" s="8"/>
      <c r="H510" s="8"/>
      <c r="I510" s="8"/>
      <c r="J510" s="8"/>
      <c r="K510" s="8"/>
      <c r="L510" s="8"/>
      <c r="M510" s="8">
        <v>100</v>
      </c>
      <c r="N510" s="8">
        <v>700</v>
      </c>
      <c r="O510" s="8">
        <v>137</v>
      </c>
      <c r="P510" s="29">
        <v>2</v>
      </c>
      <c r="Q510" s="8">
        <v>160</v>
      </c>
      <c r="R510" s="8">
        <v>160</v>
      </c>
      <c r="S510" s="8">
        <f>R510*0.4</f>
        <v>64</v>
      </c>
      <c r="T510" s="8">
        <f>R510*0.2</f>
        <v>32</v>
      </c>
      <c r="U510" s="8">
        <v>32</v>
      </c>
      <c r="V510" s="8">
        <v>32</v>
      </c>
      <c r="W510" s="8">
        <v>0</v>
      </c>
      <c r="X510" s="8">
        <v>0</v>
      </c>
    </row>
    <row r="511" spans="1:24" s="59" customFormat="1" ht="20.25" customHeight="1">
      <c r="A511" s="158" t="s">
        <v>702</v>
      </c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</row>
    <row r="512" spans="1:24" s="59" customFormat="1" ht="17.25" customHeight="1">
      <c r="A512" s="29">
        <v>2</v>
      </c>
      <c r="B512" s="8">
        <v>35</v>
      </c>
      <c r="C512" s="8">
        <v>100.6</v>
      </c>
      <c r="D512" s="8">
        <v>35</v>
      </c>
      <c r="E512" s="8">
        <v>100.6</v>
      </c>
      <c r="F512" s="8" t="s">
        <v>703</v>
      </c>
      <c r="G512" s="8"/>
      <c r="H512" s="8"/>
      <c r="I512" s="8"/>
      <c r="J512" s="8"/>
      <c r="K512" s="8"/>
      <c r="L512" s="8"/>
      <c r="M512" s="8">
        <v>100</v>
      </c>
      <c r="N512" s="8">
        <v>200</v>
      </c>
      <c r="O512" s="8">
        <v>109.4</v>
      </c>
      <c r="P512" s="29">
        <v>1</v>
      </c>
      <c r="Q512" s="8">
        <v>160</v>
      </c>
      <c r="R512" s="8">
        <v>140</v>
      </c>
      <c r="S512" s="8">
        <f>R512*0.4</f>
        <v>56</v>
      </c>
      <c r="T512" s="8">
        <f>R512*0.2</f>
        <v>28</v>
      </c>
      <c r="U512" s="8">
        <v>28</v>
      </c>
      <c r="V512" s="8">
        <v>28</v>
      </c>
      <c r="W512" s="8">
        <v>0</v>
      </c>
      <c r="X512" s="8">
        <v>0</v>
      </c>
    </row>
    <row r="513" spans="1:24" s="59" customFormat="1" ht="21.75" customHeight="1">
      <c r="A513" s="158" t="s">
        <v>704</v>
      </c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</row>
    <row r="514" spans="1:24" s="59" customFormat="1" ht="20.25" customHeight="1">
      <c r="A514" s="29">
        <v>3</v>
      </c>
      <c r="B514" s="8">
        <v>80</v>
      </c>
      <c r="C514" s="8">
        <v>181.6</v>
      </c>
      <c r="D514" s="8">
        <v>80</v>
      </c>
      <c r="E514" s="8">
        <v>181.6</v>
      </c>
      <c r="F514" s="8" t="s">
        <v>453</v>
      </c>
      <c r="G514" s="8"/>
      <c r="H514" s="8"/>
      <c r="I514" s="8"/>
      <c r="J514" s="8"/>
      <c r="K514" s="8"/>
      <c r="L514" s="8"/>
      <c r="M514" s="8">
        <v>100</v>
      </c>
      <c r="N514" s="8">
        <v>800</v>
      </c>
      <c r="O514" s="8">
        <v>197.4</v>
      </c>
      <c r="P514" s="29">
        <v>1</v>
      </c>
      <c r="Q514" s="8">
        <v>160</v>
      </c>
      <c r="R514" s="8">
        <v>254</v>
      </c>
      <c r="S514" s="8">
        <f>R514*0.4</f>
        <v>101.60000000000001</v>
      </c>
      <c r="T514" s="8">
        <f>R514*0.2</f>
        <v>50.800000000000004</v>
      </c>
      <c r="U514" s="8">
        <v>50.8</v>
      </c>
      <c r="V514" s="8">
        <v>50.8</v>
      </c>
      <c r="W514" s="8">
        <v>0</v>
      </c>
      <c r="X514" s="8">
        <v>0</v>
      </c>
    </row>
    <row r="515" spans="1:24" s="59" customFormat="1" ht="36">
      <c r="A515" s="7" t="s">
        <v>456</v>
      </c>
      <c r="B515" s="8">
        <f>B510+B512+B514</f>
        <v>165</v>
      </c>
      <c r="C515" s="8">
        <f>C510+C512+C514</f>
        <v>408.2</v>
      </c>
      <c r="D515" s="8">
        <f>D510+D512+D514</f>
        <v>165</v>
      </c>
      <c r="E515" s="8">
        <f>E510+E512+E514</f>
        <v>408.2</v>
      </c>
      <c r="F515" s="8" t="s">
        <v>433</v>
      </c>
      <c r="G515" s="8">
        <f aca="true" t="shared" si="71" ref="G515:X515">G510+G512+G514</f>
        <v>0</v>
      </c>
      <c r="H515" s="8">
        <f t="shared" si="71"/>
        <v>0</v>
      </c>
      <c r="I515" s="8" t="s">
        <v>698</v>
      </c>
      <c r="J515" s="8">
        <f t="shared" si="71"/>
        <v>0</v>
      </c>
      <c r="K515" s="8">
        <f t="shared" si="71"/>
        <v>0</v>
      </c>
      <c r="L515" s="8" t="s">
        <v>698</v>
      </c>
      <c r="M515" s="8">
        <f t="shared" si="71"/>
        <v>300</v>
      </c>
      <c r="N515" s="8">
        <f t="shared" si="71"/>
        <v>1700</v>
      </c>
      <c r="O515" s="8">
        <f t="shared" si="71"/>
        <v>443.8</v>
      </c>
      <c r="P515" s="29">
        <f t="shared" si="71"/>
        <v>4</v>
      </c>
      <c r="Q515" s="8">
        <f t="shared" si="71"/>
        <v>480</v>
      </c>
      <c r="R515" s="8">
        <f t="shared" si="71"/>
        <v>554</v>
      </c>
      <c r="S515" s="8">
        <f>S510+S512+S514</f>
        <v>221.60000000000002</v>
      </c>
      <c r="T515" s="8">
        <f t="shared" si="71"/>
        <v>110.80000000000001</v>
      </c>
      <c r="U515" s="8">
        <f t="shared" si="71"/>
        <v>110.8</v>
      </c>
      <c r="V515" s="8">
        <f t="shared" si="71"/>
        <v>110.8</v>
      </c>
      <c r="W515" s="8">
        <f t="shared" si="71"/>
        <v>0</v>
      </c>
      <c r="X515" s="8">
        <f t="shared" si="71"/>
        <v>0</v>
      </c>
    </row>
    <row r="516" spans="1:24" s="59" customFormat="1" ht="15" customHeight="1">
      <c r="A516" s="149" t="s">
        <v>440</v>
      </c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</row>
    <row r="517" spans="1:24" s="59" customFormat="1" ht="18.75" customHeight="1">
      <c r="A517" s="158" t="s">
        <v>705</v>
      </c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</row>
    <row r="518" spans="1:24" s="59" customFormat="1" ht="20.25" customHeight="1">
      <c r="A518" s="60">
        <v>1</v>
      </c>
      <c r="B518" s="60">
        <v>56</v>
      </c>
      <c r="C518" s="60">
        <v>144</v>
      </c>
      <c r="D518" s="60">
        <v>56</v>
      </c>
      <c r="E518" s="60">
        <v>144</v>
      </c>
      <c r="F518" s="60" t="s">
        <v>433</v>
      </c>
      <c r="G518" s="60"/>
      <c r="H518" s="60"/>
      <c r="I518" s="61"/>
      <c r="J518" s="60"/>
      <c r="K518" s="62"/>
      <c r="L518" s="62"/>
      <c r="M518" s="60">
        <v>100</v>
      </c>
      <c r="N518" s="60">
        <v>400</v>
      </c>
      <c r="O518" s="60">
        <v>150</v>
      </c>
      <c r="P518" s="60">
        <v>1</v>
      </c>
      <c r="Q518" s="60">
        <v>160</v>
      </c>
      <c r="R518" s="60">
        <v>205</v>
      </c>
      <c r="S518" s="60">
        <f>0.4*R518</f>
        <v>82</v>
      </c>
      <c r="T518" s="60">
        <f>0.2*R518</f>
        <v>41</v>
      </c>
      <c r="U518" s="60">
        <f>0.2*R518</f>
        <v>41</v>
      </c>
      <c r="V518" s="60">
        <f>0.2*R518</f>
        <v>41</v>
      </c>
      <c r="W518" s="60">
        <v>0</v>
      </c>
      <c r="X518" s="60">
        <v>0</v>
      </c>
    </row>
    <row r="519" spans="1:24" s="59" customFormat="1" ht="20.25" customHeight="1">
      <c r="A519" s="158" t="s">
        <v>706</v>
      </c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</row>
    <row r="520" spans="1:24" s="63" customFormat="1" ht="18" customHeight="1">
      <c r="A520" s="60">
        <v>2</v>
      </c>
      <c r="B520" s="60">
        <v>48</v>
      </c>
      <c r="C520" s="60">
        <v>122</v>
      </c>
      <c r="D520" s="60">
        <v>48</v>
      </c>
      <c r="E520" s="60">
        <v>122</v>
      </c>
      <c r="F520" s="60" t="s">
        <v>433</v>
      </c>
      <c r="G520" s="60"/>
      <c r="H520" s="60"/>
      <c r="I520" s="61"/>
      <c r="J520" s="61"/>
      <c r="K520" s="62"/>
      <c r="L520" s="62"/>
      <c r="M520" s="60">
        <v>200</v>
      </c>
      <c r="N520" s="60">
        <v>200</v>
      </c>
      <c r="O520" s="60">
        <v>130</v>
      </c>
      <c r="P520" s="60">
        <v>1</v>
      </c>
      <c r="Q520" s="60">
        <v>160</v>
      </c>
      <c r="R520" s="60">
        <v>174</v>
      </c>
      <c r="S520" s="65">
        <f>0.4*R520</f>
        <v>69.60000000000001</v>
      </c>
      <c r="T520" s="65">
        <f>0.2*R520</f>
        <v>34.800000000000004</v>
      </c>
      <c r="U520" s="65">
        <f>0.2*R520</f>
        <v>34.800000000000004</v>
      </c>
      <c r="V520" s="65">
        <f>0.2*R520</f>
        <v>34.800000000000004</v>
      </c>
      <c r="W520" s="60">
        <v>0</v>
      </c>
      <c r="X520" s="60">
        <v>0</v>
      </c>
    </row>
    <row r="521" spans="1:24" s="59" customFormat="1" ht="21.75" customHeight="1">
      <c r="A521" s="158" t="s">
        <v>707</v>
      </c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</row>
    <row r="522" spans="1:24" s="63" customFormat="1" ht="24.75" customHeight="1">
      <c r="A522" s="60">
        <v>3</v>
      </c>
      <c r="B522" s="60">
        <v>52</v>
      </c>
      <c r="C522" s="60">
        <v>129</v>
      </c>
      <c r="D522" s="60">
        <v>52</v>
      </c>
      <c r="E522" s="60">
        <v>129</v>
      </c>
      <c r="F522" s="60" t="s">
        <v>433</v>
      </c>
      <c r="G522" s="60"/>
      <c r="H522" s="60"/>
      <c r="I522" s="61"/>
      <c r="J522" s="60"/>
      <c r="K522" s="60"/>
      <c r="L522" s="60"/>
      <c r="M522" s="60">
        <v>100</v>
      </c>
      <c r="N522" s="60">
        <v>400</v>
      </c>
      <c r="O522" s="60">
        <v>140</v>
      </c>
      <c r="P522" s="60">
        <v>1</v>
      </c>
      <c r="Q522" s="60">
        <v>160</v>
      </c>
      <c r="R522" s="60">
        <v>180</v>
      </c>
      <c r="S522" s="64">
        <f>0.4*R522</f>
        <v>72</v>
      </c>
      <c r="T522" s="64">
        <f>0.2*R522</f>
        <v>36</v>
      </c>
      <c r="U522" s="64">
        <f>0.2*R522</f>
        <v>36</v>
      </c>
      <c r="V522" s="64">
        <f>0.2*R522</f>
        <v>36</v>
      </c>
      <c r="W522" s="60">
        <v>0</v>
      </c>
      <c r="X522" s="60">
        <v>0</v>
      </c>
    </row>
    <row r="523" spans="1:25" s="59" customFormat="1" ht="36">
      <c r="A523" s="7" t="s">
        <v>450</v>
      </c>
      <c r="B523" s="7">
        <f>B518+B520+B522</f>
        <v>156</v>
      </c>
      <c r="C523" s="7">
        <f>C518+C520+C522</f>
        <v>395</v>
      </c>
      <c r="D523" s="7">
        <f>D518+D520+D522</f>
        <v>156</v>
      </c>
      <c r="E523" s="7">
        <f>E518+E520+E522</f>
        <v>395</v>
      </c>
      <c r="F523" s="7" t="s">
        <v>433</v>
      </c>
      <c r="G523" s="7">
        <f aca="true" t="shared" si="72" ref="G523:X523">G518+G520+G522</f>
        <v>0</v>
      </c>
      <c r="H523" s="7">
        <f t="shared" si="72"/>
        <v>0</v>
      </c>
      <c r="I523" s="7" t="s">
        <v>698</v>
      </c>
      <c r="J523" s="7">
        <f t="shared" si="72"/>
        <v>0</v>
      </c>
      <c r="K523" s="7">
        <f t="shared" si="72"/>
        <v>0</v>
      </c>
      <c r="L523" s="7" t="s">
        <v>698</v>
      </c>
      <c r="M523" s="7">
        <f t="shared" si="72"/>
        <v>400</v>
      </c>
      <c r="N523" s="7">
        <f t="shared" si="72"/>
        <v>1000</v>
      </c>
      <c r="O523" s="7">
        <f t="shared" si="72"/>
        <v>420</v>
      </c>
      <c r="P523" s="7">
        <f t="shared" si="72"/>
        <v>3</v>
      </c>
      <c r="Q523" s="7">
        <f t="shared" si="72"/>
        <v>480</v>
      </c>
      <c r="R523" s="7">
        <f t="shared" si="72"/>
        <v>559</v>
      </c>
      <c r="S523" s="7">
        <f>S518+S520+S522</f>
        <v>223.60000000000002</v>
      </c>
      <c r="T523" s="7">
        <f t="shared" si="72"/>
        <v>111.80000000000001</v>
      </c>
      <c r="U523" s="7">
        <f t="shared" si="72"/>
        <v>111.80000000000001</v>
      </c>
      <c r="V523" s="7">
        <f t="shared" si="72"/>
        <v>111.80000000000001</v>
      </c>
      <c r="W523" s="7">
        <f t="shared" si="72"/>
        <v>0</v>
      </c>
      <c r="X523" s="7">
        <f t="shared" si="72"/>
        <v>0</v>
      </c>
      <c r="Y523" s="87"/>
    </row>
    <row r="524" spans="1:25" ht="159.75" customHeight="1">
      <c r="A524" s="6" t="s">
        <v>733</v>
      </c>
      <c r="B524" s="10">
        <f>B499+B507+B515+B523</f>
        <v>1642</v>
      </c>
      <c r="C524" s="10">
        <f aca="true" t="shared" si="73" ref="C524:X524">C499+C507+C515+C523</f>
        <v>4052.748249999999</v>
      </c>
      <c r="D524" s="10">
        <f t="shared" si="73"/>
        <v>1629</v>
      </c>
      <c r="E524" s="10">
        <f t="shared" si="73"/>
        <v>3962.748249999999</v>
      </c>
      <c r="F524" s="10" t="s">
        <v>433</v>
      </c>
      <c r="G524" s="10">
        <f t="shared" si="73"/>
        <v>0</v>
      </c>
      <c r="H524" s="10">
        <f t="shared" si="73"/>
        <v>0</v>
      </c>
      <c r="I524" s="10" t="s">
        <v>698</v>
      </c>
      <c r="J524" s="56">
        <f t="shared" si="73"/>
        <v>13</v>
      </c>
      <c r="K524" s="10">
        <f t="shared" si="73"/>
        <v>90</v>
      </c>
      <c r="L524" s="10" t="s">
        <v>698</v>
      </c>
      <c r="M524" s="10">
        <f t="shared" si="73"/>
        <v>3450</v>
      </c>
      <c r="N524" s="10">
        <f>N499+N507+N515+N523</f>
        <v>15150</v>
      </c>
      <c r="O524" s="10">
        <f t="shared" si="73"/>
        <v>4395.917663043479</v>
      </c>
      <c r="P524" s="10">
        <f t="shared" si="73"/>
        <v>30</v>
      </c>
      <c r="Q524" s="10">
        <f t="shared" si="73"/>
        <v>4320</v>
      </c>
      <c r="R524" s="10">
        <f t="shared" si="73"/>
        <v>5837.8431555</v>
      </c>
      <c r="S524" s="10">
        <f t="shared" si="73"/>
        <v>2282.7932621999994</v>
      </c>
      <c r="T524" s="10">
        <f t="shared" si="73"/>
        <v>1141.3966310999997</v>
      </c>
      <c r="U524" s="10">
        <f t="shared" si="73"/>
        <v>1141.3966310999997</v>
      </c>
      <c r="V524" s="10">
        <f t="shared" si="73"/>
        <v>1141.3966310999997</v>
      </c>
      <c r="W524" s="10">
        <f t="shared" si="73"/>
        <v>0</v>
      </c>
      <c r="X524" s="10">
        <f t="shared" si="73"/>
        <v>130.85999999999999</v>
      </c>
      <c r="Y524" s="4">
        <f t="shared" si="64"/>
        <v>2282.7932621999994</v>
      </c>
    </row>
    <row r="525" spans="1:25" ht="18">
      <c r="A525" s="171" t="s">
        <v>443</v>
      </c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4">
        <f t="shared" si="64"/>
        <v>0</v>
      </c>
    </row>
    <row r="526" spans="1:25" ht="18.75" outlineLevel="1">
      <c r="A526" s="13">
        <v>1</v>
      </c>
      <c r="B526" s="13">
        <v>2</v>
      </c>
      <c r="C526" s="13">
        <v>3</v>
      </c>
      <c r="D526" s="13">
        <v>4</v>
      </c>
      <c r="E526" s="13">
        <v>5</v>
      </c>
      <c r="F526" s="13">
        <v>6</v>
      </c>
      <c r="G526" s="13">
        <v>7</v>
      </c>
      <c r="H526" s="13">
        <v>8</v>
      </c>
      <c r="I526" s="13">
        <v>9</v>
      </c>
      <c r="J526" s="13">
        <v>10</v>
      </c>
      <c r="K526" s="13">
        <v>11</v>
      </c>
      <c r="L526" s="13">
        <v>12</v>
      </c>
      <c r="M526" s="13">
        <v>13</v>
      </c>
      <c r="N526" s="13">
        <v>14</v>
      </c>
      <c r="O526" s="13">
        <v>15</v>
      </c>
      <c r="P526" s="13">
        <v>16</v>
      </c>
      <c r="Q526" s="13">
        <v>17</v>
      </c>
      <c r="R526" s="13">
        <v>18</v>
      </c>
      <c r="S526" s="89">
        <v>19</v>
      </c>
      <c r="T526" s="14">
        <v>20</v>
      </c>
      <c r="U526" s="14">
        <v>21</v>
      </c>
      <c r="V526" s="14">
        <v>22</v>
      </c>
      <c r="W526" s="14">
        <v>23</v>
      </c>
      <c r="X526" s="14">
        <v>24</v>
      </c>
      <c r="Y526" s="4">
        <f t="shared" si="64"/>
        <v>42</v>
      </c>
    </row>
    <row r="527" spans="1:25" ht="12.75" customHeight="1" outlineLevel="1">
      <c r="A527" s="161" t="s">
        <v>446</v>
      </c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4">
        <f t="shared" si="64"/>
        <v>0</v>
      </c>
    </row>
    <row r="528" spans="1:25" ht="12.75" customHeight="1" outlineLevel="2">
      <c r="A528" s="170">
        <v>1</v>
      </c>
      <c r="B528" s="162" t="s">
        <v>42</v>
      </c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4">
        <f aca="true" t="shared" si="74" ref="Y528:Y591">U528*2</f>
        <v>0</v>
      </c>
    </row>
    <row r="529" spans="1:25" ht="18" outlineLevel="2">
      <c r="A529" s="170"/>
      <c r="B529" s="15">
        <f>D529+G529+J529</f>
        <v>39</v>
      </c>
      <c r="C529" s="16">
        <f>E529+H529+K529</f>
        <v>114.35749999999999</v>
      </c>
      <c r="D529" s="15">
        <v>38</v>
      </c>
      <c r="E529" s="8">
        <f>D529*FORECAST(D529,AA$11:AA$12,Z$11:Z$12)</f>
        <v>104.35749999999999</v>
      </c>
      <c r="F529" s="15" t="s">
        <v>433</v>
      </c>
      <c r="G529" s="15"/>
      <c r="H529" s="15"/>
      <c r="I529" s="15"/>
      <c r="J529" s="15">
        <v>1</v>
      </c>
      <c r="K529" s="15">
        <v>10</v>
      </c>
      <c r="L529" s="15" t="s">
        <v>433</v>
      </c>
      <c r="M529" s="15"/>
      <c r="N529" s="15">
        <f>1860</f>
        <v>1860</v>
      </c>
      <c r="O529" s="8">
        <f>C529/0.92</f>
        <v>124.3016304347826</v>
      </c>
      <c r="P529" s="15"/>
      <c r="Q529" s="15"/>
      <c r="R529" s="8">
        <f>1.454*C529</f>
        <v>166.275805</v>
      </c>
      <c r="S529" s="9">
        <f>E529*1.454*0.4</f>
        <v>60.69432199999999</v>
      </c>
      <c r="T529" s="9">
        <f>E529*1.454*0.2</f>
        <v>30.347160999999996</v>
      </c>
      <c r="U529" s="9">
        <f>E529*1.454*0.2</f>
        <v>30.347160999999996</v>
      </c>
      <c r="V529" s="9">
        <f>E529*1.454*0.2</f>
        <v>30.347160999999996</v>
      </c>
      <c r="W529" s="9">
        <f>H529*1.454</f>
        <v>0</v>
      </c>
      <c r="X529" s="9">
        <f>K529*1.454</f>
        <v>14.54</v>
      </c>
      <c r="Y529" s="4">
        <f t="shared" si="74"/>
        <v>60.69432199999999</v>
      </c>
    </row>
    <row r="530" spans="1:25" ht="12.75" customHeight="1" outlineLevel="2">
      <c r="A530" s="170">
        <v>2</v>
      </c>
      <c r="B530" s="162" t="s">
        <v>556</v>
      </c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4">
        <f t="shared" si="74"/>
        <v>0</v>
      </c>
    </row>
    <row r="531" spans="1:25" ht="18" outlineLevel="2">
      <c r="A531" s="170"/>
      <c r="B531" s="15">
        <f>D531+G531+J531</f>
        <v>20</v>
      </c>
      <c r="C531" s="15">
        <f>E531+H531+K531</f>
        <v>74.6</v>
      </c>
      <c r="D531" s="15">
        <v>20</v>
      </c>
      <c r="E531" s="8">
        <f>D531*FORECAST(D531,AA$10:AA$11,Z$10:Z$11)</f>
        <v>74.6</v>
      </c>
      <c r="F531" s="15" t="s">
        <v>433</v>
      </c>
      <c r="G531" s="15"/>
      <c r="H531" s="15"/>
      <c r="I531" s="15"/>
      <c r="J531" s="15"/>
      <c r="K531" s="15"/>
      <c r="L531" s="15"/>
      <c r="M531" s="15"/>
      <c r="N531" s="15">
        <f>1460</f>
        <v>1460</v>
      </c>
      <c r="O531" s="8">
        <f>C531/0.92</f>
        <v>81.08695652173913</v>
      </c>
      <c r="P531" s="15"/>
      <c r="Q531" s="15"/>
      <c r="R531" s="8">
        <f>1.454*C531</f>
        <v>108.46839999999999</v>
      </c>
      <c r="S531" s="9">
        <f>E531*1.454*0.4</f>
        <v>43.38736</v>
      </c>
      <c r="T531" s="9">
        <f>E531*1.454*0.2</f>
        <v>21.69368</v>
      </c>
      <c r="U531" s="9">
        <f>E531*1.454*0.2</f>
        <v>21.69368</v>
      </c>
      <c r="V531" s="9">
        <f>E531*1.454*0.2</f>
        <v>21.69368</v>
      </c>
      <c r="W531" s="9">
        <f>H531*1.454</f>
        <v>0</v>
      </c>
      <c r="X531" s="9">
        <f>K531*1.454</f>
        <v>0</v>
      </c>
      <c r="Y531" s="4">
        <f t="shared" si="74"/>
        <v>43.38736</v>
      </c>
    </row>
    <row r="532" spans="1:25" ht="12.75" customHeight="1" outlineLevel="2">
      <c r="A532" s="170">
        <v>3</v>
      </c>
      <c r="B532" s="162" t="s">
        <v>557</v>
      </c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4">
        <f t="shared" si="74"/>
        <v>0</v>
      </c>
    </row>
    <row r="533" spans="1:25" ht="18" outlineLevel="2">
      <c r="A533" s="170"/>
      <c r="B533" s="15">
        <f>D533+G533+J533</f>
        <v>30</v>
      </c>
      <c r="C533" s="16">
        <f>E533+H533+K533</f>
        <v>128.97</v>
      </c>
      <c r="D533" s="15">
        <v>28</v>
      </c>
      <c r="E533" s="8">
        <f>D533*FORECAST(D533,AA$11:AA$12,Z$11:Z$12)</f>
        <v>88.97</v>
      </c>
      <c r="F533" s="15" t="s">
        <v>433</v>
      </c>
      <c r="G533" s="15"/>
      <c r="H533" s="15"/>
      <c r="I533" s="15"/>
      <c r="J533" s="15">
        <v>2</v>
      </c>
      <c r="K533" s="15">
        <v>40</v>
      </c>
      <c r="L533" s="15" t="s">
        <v>433</v>
      </c>
      <c r="M533" s="15">
        <f>650</f>
        <v>650</v>
      </c>
      <c r="N533" s="15">
        <f>1030</f>
        <v>1030</v>
      </c>
      <c r="O533" s="8">
        <f>C533/0.92</f>
        <v>140.18478260869566</v>
      </c>
      <c r="P533" s="15">
        <v>1</v>
      </c>
      <c r="Q533" s="15">
        <v>160</v>
      </c>
      <c r="R533" s="8">
        <f>1.454*C533</f>
        <v>187.52238</v>
      </c>
      <c r="S533" s="9">
        <f>E533*1.454*0.4</f>
        <v>51.744952000000005</v>
      </c>
      <c r="T533" s="9">
        <f>E533*1.454*0.2</f>
        <v>25.872476000000002</v>
      </c>
      <c r="U533" s="9">
        <f>E533*1.454*0.2</f>
        <v>25.872476000000002</v>
      </c>
      <c r="V533" s="9">
        <f>E533*1.454*0.2</f>
        <v>25.872476000000002</v>
      </c>
      <c r="W533" s="9">
        <f>H533*1.454</f>
        <v>0</v>
      </c>
      <c r="X533" s="9">
        <f>K533*1.454</f>
        <v>58.16</v>
      </c>
      <c r="Y533" s="4">
        <f t="shared" si="74"/>
        <v>51.744952000000005</v>
      </c>
    </row>
    <row r="534" spans="1:25" ht="12.75" customHeight="1" outlineLevel="2">
      <c r="A534" s="170">
        <v>4</v>
      </c>
      <c r="B534" s="162" t="s">
        <v>558</v>
      </c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4">
        <f t="shared" si="74"/>
        <v>0</v>
      </c>
    </row>
    <row r="535" spans="1:25" ht="18" outlineLevel="2">
      <c r="A535" s="170"/>
      <c r="B535" s="15">
        <f>D535+G535+J535</f>
        <v>20</v>
      </c>
      <c r="C535" s="15">
        <f>E535+H535+K535</f>
        <v>74.6</v>
      </c>
      <c r="D535" s="15">
        <v>20</v>
      </c>
      <c r="E535" s="8">
        <f>D535*FORECAST(D535,AA$10:AA$11,Z$10:Z$11)</f>
        <v>74.6</v>
      </c>
      <c r="F535" s="15" t="s">
        <v>433</v>
      </c>
      <c r="G535" s="15"/>
      <c r="H535" s="15"/>
      <c r="I535" s="15"/>
      <c r="J535" s="15"/>
      <c r="K535" s="15"/>
      <c r="L535" s="15"/>
      <c r="M535" s="15"/>
      <c r="N535" s="15">
        <f>960</f>
        <v>960</v>
      </c>
      <c r="O535" s="8">
        <f>C535/0.92</f>
        <v>81.08695652173913</v>
      </c>
      <c r="P535" s="15"/>
      <c r="Q535" s="15"/>
      <c r="R535" s="8">
        <f>1.454*C535</f>
        <v>108.46839999999999</v>
      </c>
      <c r="S535" s="9">
        <f>E535*1.454*0.4</f>
        <v>43.38736</v>
      </c>
      <c r="T535" s="9">
        <f>E535*1.454*0.2</f>
        <v>21.69368</v>
      </c>
      <c r="U535" s="9">
        <f>E535*1.454*0.2</f>
        <v>21.69368</v>
      </c>
      <c r="V535" s="9">
        <f>E535*1.454*0.2</f>
        <v>21.69368</v>
      </c>
      <c r="W535" s="9">
        <f>H535*1.454</f>
        <v>0</v>
      </c>
      <c r="X535" s="9">
        <f>K535*1.454</f>
        <v>0</v>
      </c>
      <c r="Y535" s="4">
        <f t="shared" si="74"/>
        <v>43.38736</v>
      </c>
    </row>
    <row r="536" spans="1:25" ht="36" outlineLevel="2">
      <c r="A536" s="6" t="s">
        <v>431</v>
      </c>
      <c r="B536" s="6">
        <f>B529+B531+B533+B535</f>
        <v>109</v>
      </c>
      <c r="C536" s="19">
        <f>C529+C531+C533+C535</f>
        <v>392.52750000000003</v>
      </c>
      <c r="D536" s="6">
        <f>D529+D531+D533+D535</f>
        <v>106</v>
      </c>
      <c r="E536" s="19">
        <f>E529+E531+E533+E535</f>
        <v>342.52750000000003</v>
      </c>
      <c r="F536" s="6" t="s">
        <v>433</v>
      </c>
      <c r="G536" s="6">
        <f>G529+G531+G533+G535</f>
        <v>0</v>
      </c>
      <c r="H536" s="6">
        <f>H529+H531+H533+H535</f>
        <v>0</v>
      </c>
      <c r="I536" s="6" t="s">
        <v>441</v>
      </c>
      <c r="J536" s="6">
        <f>J529+J531+J533+J535</f>
        <v>3</v>
      </c>
      <c r="K536" s="6">
        <f>K529+K531+K533+K535</f>
        <v>50</v>
      </c>
      <c r="L536" s="6" t="s">
        <v>433</v>
      </c>
      <c r="M536" s="6">
        <f aca="true" t="shared" si="75" ref="M536:X536">M529+M531+M533+M535</f>
        <v>650</v>
      </c>
      <c r="N536" s="6">
        <f t="shared" si="75"/>
        <v>5310</v>
      </c>
      <c r="O536" s="6">
        <f t="shared" si="75"/>
        <v>426.6603260869565</v>
      </c>
      <c r="P536" s="6">
        <f t="shared" si="75"/>
        <v>1</v>
      </c>
      <c r="Q536" s="6">
        <f t="shared" si="75"/>
        <v>160</v>
      </c>
      <c r="R536" s="19">
        <f t="shared" si="75"/>
        <v>570.7349849999999</v>
      </c>
      <c r="S536" s="19">
        <f t="shared" si="75"/>
        <v>199.213994</v>
      </c>
      <c r="T536" s="19">
        <f t="shared" si="75"/>
        <v>99.606997</v>
      </c>
      <c r="U536" s="19">
        <f t="shared" si="75"/>
        <v>99.606997</v>
      </c>
      <c r="V536" s="19">
        <f t="shared" si="75"/>
        <v>99.606997</v>
      </c>
      <c r="W536" s="19">
        <f t="shared" si="75"/>
        <v>0</v>
      </c>
      <c r="X536" s="19">
        <f t="shared" si="75"/>
        <v>72.69999999999999</v>
      </c>
      <c r="Y536" s="4">
        <f t="shared" si="74"/>
        <v>199.213994</v>
      </c>
    </row>
    <row r="537" spans="1:25" ht="12.75" customHeight="1" outlineLevel="2">
      <c r="A537" s="160" t="s">
        <v>94</v>
      </c>
      <c r="B537" s="160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4">
        <f t="shared" si="74"/>
        <v>0</v>
      </c>
    </row>
    <row r="538" spans="1:25" ht="12.75" customHeight="1" outlineLevel="2">
      <c r="A538" s="160">
        <v>1</v>
      </c>
      <c r="B538" s="162" t="s">
        <v>559</v>
      </c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4">
        <f t="shared" si="74"/>
        <v>0</v>
      </c>
    </row>
    <row r="539" spans="1:25" ht="18" outlineLevel="2">
      <c r="A539" s="160"/>
      <c r="B539" s="15">
        <f>D539+G539+J539</f>
        <v>21</v>
      </c>
      <c r="C539" s="16">
        <f>E539+H539+K539</f>
        <v>76.335</v>
      </c>
      <c r="D539" s="15">
        <v>21</v>
      </c>
      <c r="E539" s="8">
        <f>D539*FORECAST(D539,AA$10:AA$11,Z$10:Z$11)</f>
        <v>76.335</v>
      </c>
      <c r="F539" s="15" t="s">
        <v>433</v>
      </c>
      <c r="G539" s="15"/>
      <c r="H539" s="15"/>
      <c r="I539" s="15"/>
      <c r="J539" s="15"/>
      <c r="K539" s="15"/>
      <c r="L539" s="15"/>
      <c r="M539" s="15">
        <v>100</v>
      </c>
      <c r="N539" s="15">
        <v>510</v>
      </c>
      <c r="O539" s="8">
        <f>C539/0.92</f>
        <v>82.97282608695652</v>
      </c>
      <c r="P539" s="15"/>
      <c r="Q539" s="15"/>
      <c r="R539" s="8">
        <f>1.454*C539</f>
        <v>110.99108999999999</v>
      </c>
      <c r="S539" s="9">
        <f>E539*1.454*0.4</f>
        <v>44.396435999999994</v>
      </c>
      <c r="T539" s="9">
        <f>E539*1.454*0.2</f>
        <v>22.198217999999997</v>
      </c>
      <c r="U539" s="9">
        <f>E539*1.454*0.2</f>
        <v>22.198217999999997</v>
      </c>
      <c r="V539" s="9">
        <f>E539*1.454*0.2</f>
        <v>22.198217999999997</v>
      </c>
      <c r="W539" s="9">
        <f>H539*1.454</f>
        <v>0</v>
      </c>
      <c r="X539" s="9">
        <f>K539*1.454</f>
        <v>0</v>
      </c>
      <c r="Y539" s="4">
        <f t="shared" si="74"/>
        <v>44.396435999999994</v>
      </c>
    </row>
    <row r="540" spans="1:25" ht="12.75" customHeight="1" outlineLevel="2">
      <c r="A540" s="160">
        <v>2</v>
      </c>
      <c r="B540" s="162" t="s">
        <v>560</v>
      </c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4">
        <f t="shared" si="74"/>
        <v>0</v>
      </c>
    </row>
    <row r="541" spans="1:25" ht="18" outlineLevel="2">
      <c r="A541" s="160"/>
      <c r="B541" s="15">
        <f>D541+G541+J541</f>
        <v>15</v>
      </c>
      <c r="C541" s="15">
        <f>E541+H541+K541</f>
        <v>65.1</v>
      </c>
      <c r="D541" s="15">
        <v>15</v>
      </c>
      <c r="E541" s="8">
        <f>D541*FORECAST(D541,AA$9:AA$10,Z$9:Z$10)</f>
        <v>65.1</v>
      </c>
      <c r="F541" s="15" t="s">
        <v>433</v>
      </c>
      <c r="G541" s="15"/>
      <c r="H541" s="15"/>
      <c r="I541" s="15"/>
      <c r="J541" s="15"/>
      <c r="K541" s="15"/>
      <c r="L541" s="15"/>
      <c r="M541" s="15"/>
      <c r="N541" s="15">
        <v>450</v>
      </c>
      <c r="O541" s="8">
        <f>C541/0.92</f>
        <v>70.76086956521738</v>
      </c>
      <c r="P541" s="15"/>
      <c r="Q541" s="15"/>
      <c r="R541" s="8">
        <f>1.454*C541</f>
        <v>94.65539999999999</v>
      </c>
      <c r="S541" s="9">
        <f>E541*1.454*0.4</f>
        <v>37.862159999999996</v>
      </c>
      <c r="T541" s="9">
        <f>E541*1.454*0.2</f>
        <v>18.931079999999998</v>
      </c>
      <c r="U541" s="9">
        <f>E541*1.454*0.2</f>
        <v>18.931079999999998</v>
      </c>
      <c r="V541" s="9">
        <f>E541*1.454*0.2</f>
        <v>18.931079999999998</v>
      </c>
      <c r="W541" s="9">
        <f>H541*1.454</f>
        <v>0</v>
      </c>
      <c r="X541" s="9">
        <f>K541*1.454</f>
        <v>0</v>
      </c>
      <c r="Y541" s="4">
        <f t="shared" si="74"/>
        <v>37.862159999999996</v>
      </c>
    </row>
    <row r="542" spans="1:25" ht="12.75" customHeight="1" outlineLevel="2">
      <c r="A542" s="160">
        <v>3</v>
      </c>
      <c r="B542" s="162" t="s">
        <v>561</v>
      </c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4">
        <f t="shared" si="74"/>
        <v>0</v>
      </c>
    </row>
    <row r="543" spans="1:25" ht="18" outlineLevel="2">
      <c r="A543" s="160"/>
      <c r="B543" s="15">
        <f>D543+G543+J543</f>
        <v>21</v>
      </c>
      <c r="C543" s="16">
        <f>E543+H543+K543</f>
        <v>76.335</v>
      </c>
      <c r="D543" s="15">
        <v>21</v>
      </c>
      <c r="E543" s="8">
        <f>D543*FORECAST(D543,AA$10:AA$11,Z$10:Z$11)</f>
        <v>76.335</v>
      </c>
      <c r="F543" s="15" t="s">
        <v>433</v>
      </c>
      <c r="G543" s="15"/>
      <c r="H543" s="15"/>
      <c r="I543" s="15"/>
      <c r="J543" s="15"/>
      <c r="K543" s="15"/>
      <c r="L543" s="15"/>
      <c r="M543" s="15"/>
      <c r="N543" s="15">
        <v>310</v>
      </c>
      <c r="O543" s="8">
        <f>C543/0.92</f>
        <v>82.97282608695652</v>
      </c>
      <c r="P543" s="15"/>
      <c r="Q543" s="15"/>
      <c r="R543" s="8">
        <f>1.454*C543</f>
        <v>110.99108999999999</v>
      </c>
      <c r="S543" s="9">
        <f>E543*1.454*0.4</f>
        <v>44.396435999999994</v>
      </c>
      <c r="T543" s="9">
        <f>E543*1.454*0.2</f>
        <v>22.198217999999997</v>
      </c>
      <c r="U543" s="9">
        <f>E543*1.454*0.2</f>
        <v>22.198217999999997</v>
      </c>
      <c r="V543" s="9">
        <f>E543*1.454*0.2</f>
        <v>22.198217999999997</v>
      </c>
      <c r="W543" s="9">
        <f>H543*1.454</f>
        <v>0</v>
      </c>
      <c r="X543" s="9">
        <f>K543*1.454</f>
        <v>0</v>
      </c>
      <c r="Y543" s="4">
        <f t="shared" si="74"/>
        <v>44.396435999999994</v>
      </c>
    </row>
    <row r="544" spans="1:25" ht="12.75" customHeight="1" outlineLevel="2">
      <c r="A544" s="160">
        <v>4</v>
      </c>
      <c r="B544" s="162" t="s">
        <v>562</v>
      </c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4">
        <f t="shared" si="74"/>
        <v>0</v>
      </c>
    </row>
    <row r="545" spans="1:25" ht="18" outlineLevel="2">
      <c r="A545" s="160"/>
      <c r="B545" s="15">
        <f>D545+G545+J545</f>
        <v>32</v>
      </c>
      <c r="C545" s="16">
        <f>E545+H545+K545</f>
        <v>96.16</v>
      </c>
      <c r="D545" s="15">
        <v>32</v>
      </c>
      <c r="E545" s="8">
        <f>D545*FORECAST(D545,AA$11:AA$12,Z$11:Z$12)</f>
        <v>96.16</v>
      </c>
      <c r="F545" s="15" t="s">
        <v>433</v>
      </c>
      <c r="G545" s="15"/>
      <c r="H545" s="15"/>
      <c r="I545" s="15"/>
      <c r="J545" s="15"/>
      <c r="K545" s="15"/>
      <c r="L545" s="15"/>
      <c r="M545" s="15"/>
      <c r="N545" s="15">
        <v>640</v>
      </c>
      <c r="O545" s="8">
        <f>C545/0.92</f>
        <v>104.52173913043478</v>
      </c>
      <c r="P545" s="15"/>
      <c r="Q545" s="15"/>
      <c r="R545" s="8">
        <f>1.454*C545</f>
        <v>139.81663999999998</v>
      </c>
      <c r="S545" s="9">
        <f>E545*1.454*0.4</f>
        <v>55.926655999999994</v>
      </c>
      <c r="T545" s="9">
        <f>E545*1.454*0.2</f>
        <v>27.963327999999997</v>
      </c>
      <c r="U545" s="9">
        <f>E545*1.454*0.2</f>
        <v>27.963327999999997</v>
      </c>
      <c r="V545" s="9">
        <f>E545*1.454*0.2</f>
        <v>27.963327999999997</v>
      </c>
      <c r="W545" s="9">
        <f>H545*1.454</f>
        <v>0</v>
      </c>
      <c r="X545" s="9">
        <f>K545*1.454</f>
        <v>0</v>
      </c>
      <c r="Y545" s="4">
        <f t="shared" si="74"/>
        <v>55.926655999999994</v>
      </c>
    </row>
    <row r="546" spans="1:25" ht="12.75" customHeight="1" outlineLevel="2">
      <c r="A546" s="160">
        <v>5</v>
      </c>
      <c r="B546" s="162" t="s">
        <v>563</v>
      </c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4">
        <f t="shared" si="74"/>
        <v>0</v>
      </c>
    </row>
    <row r="547" spans="1:25" ht="18" outlineLevel="2">
      <c r="A547" s="160"/>
      <c r="B547" s="15">
        <f>D547+G547+J547</f>
        <v>44</v>
      </c>
      <c r="C547" s="16">
        <f>E547+H547+K547</f>
        <v>210.544</v>
      </c>
      <c r="D547" s="15">
        <v>42</v>
      </c>
      <c r="E547" s="8">
        <f>D547*FORECAST(D547,AA$12:AA$13,Z$12:Z$13)</f>
        <v>110.54400000000001</v>
      </c>
      <c r="F547" s="15" t="s">
        <v>433</v>
      </c>
      <c r="G547" s="15"/>
      <c r="H547" s="15"/>
      <c r="I547" s="15"/>
      <c r="J547" s="15">
        <v>2</v>
      </c>
      <c r="K547" s="15">
        <v>100</v>
      </c>
      <c r="L547" s="15" t="s">
        <v>433</v>
      </c>
      <c r="M547" s="15"/>
      <c r="N547" s="15">
        <v>710</v>
      </c>
      <c r="O547" s="8">
        <f>C547/0.92</f>
        <v>228.8521739130435</v>
      </c>
      <c r="P547" s="15"/>
      <c r="Q547" s="15"/>
      <c r="R547" s="8">
        <f>1.454*C547</f>
        <v>306.13097600000003</v>
      </c>
      <c r="S547" s="9">
        <f>E547*1.454*0.4</f>
        <v>64.2923904</v>
      </c>
      <c r="T547" s="9">
        <f>E547*1.454*0.2</f>
        <v>32.1461952</v>
      </c>
      <c r="U547" s="9">
        <f>E547*1.454*0.2</f>
        <v>32.1461952</v>
      </c>
      <c r="V547" s="9">
        <f>E547*1.454*0.2</f>
        <v>32.1461952</v>
      </c>
      <c r="W547" s="9">
        <f>H547*1.454</f>
        <v>0</v>
      </c>
      <c r="X547" s="9">
        <f>K547*1.454</f>
        <v>145.4</v>
      </c>
      <c r="Y547" s="4">
        <f t="shared" si="74"/>
        <v>64.2923904</v>
      </c>
    </row>
    <row r="548" spans="1:25" ht="12.75" customHeight="1" outlineLevel="2">
      <c r="A548" s="160">
        <v>6</v>
      </c>
      <c r="B548" s="162" t="s">
        <v>564</v>
      </c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4">
        <f t="shared" si="74"/>
        <v>0</v>
      </c>
    </row>
    <row r="549" spans="1:25" ht="18" outlineLevel="2">
      <c r="A549" s="160"/>
      <c r="B549" s="15">
        <f>D549+G549+J549</f>
        <v>19</v>
      </c>
      <c r="C549" s="16">
        <f>E549+H549+K549</f>
        <v>72.67499999999998</v>
      </c>
      <c r="D549" s="15">
        <v>19</v>
      </c>
      <c r="E549" s="8">
        <f>D549*FORECAST(D549,AA$10:AA$11,Z$10:Z$11)</f>
        <v>72.67499999999998</v>
      </c>
      <c r="F549" s="15" t="s">
        <v>433</v>
      </c>
      <c r="G549" s="15"/>
      <c r="H549" s="15"/>
      <c r="I549" s="15"/>
      <c r="J549" s="15"/>
      <c r="K549" s="15"/>
      <c r="L549" s="15"/>
      <c r="M549" s="15"/>
      <c r="N549" s="15">
        <v>660</v>
      </c>
      <c r="O549" s="8">
        <f>C549/0.92</f>
        <v>78.99456521739128</v>
      </c>
      <c r="P549" s="15"/>
      <c r="Q549" s="15"/>
      <c r="R549" s="8">
        <f>1.454*C549</f>
        <v>105.66944999999997</v>
      </c>
      <c r="S549" s="9">
        <f>E549*1.454*0.4</f>
        <v>42.26777999999999</v>
      </c>
      <c r="T549" s="9">
        <f>E549*1.454*0.2</f>
        <v>21.133889999999994</v>
      </c>
      <c r="U549" s="9">
        <f>E549*1.454*0.2</f>
        <v>21.133889999999994</v>
      </c>
      <c r="V549" s="9">
        <f>E549*1.454*0.2</f>
        <v>21.133889999999994</v>
      </c>
      <c r="W549" s="9">
        <f>H549*1.454</f>
        <v>0</v>
      </c>
      <c r="X549" s="9">
        <f>K549*1.454</f>
        <v>0</v>
      </c>
      <c r="Y549" s="4">
        <f t="shared" si="74"/>
        <v>42.26777999999999</v>
      </c>
    </row>
    <row r="550" spans="1:25" ht="12.75" customHeight="1" outlineLevel="2">
      <c r="A550" s="160">
        <v>7</v>
      </c>
      <c r="B550" s="162" t="s">
        <v>565</v>
      </c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4">
        <f t="shared" si="74"/>
        <v>0</v>
      </c>
    </row>
    <row r="551" spans="1:25" ht="18" outlineLevel="2">
      <c r="A551" s="160"/>
      <c r="B551" s="15">
        <f>D551+G551+J551</f>
        <v>19</v>
      </c>
      <c r="C551" s="16">
        <f>E551+H551+K551</f>
        <v>72.67499999999998</v>
      </c>
      <c r="D551" s="15">
        <v>19</v>
      </c>
      <c r="E551" s="8">
        <f>D551*FORECAST(D551,AA$10:AA$11,Z$10:Z$11)</f>
        <v>72.67499999999998</v>
      </c>
      <c r="F551" s="15" t="s">
        <v>433</v>
      </c>
      <c r="G551" s="15"/>
      <c r="H551" s="15"/>
      <c r="I551" s="15"/>
      <c r="J551" s="15"/>
      <c r="K551" s="15"/>
      <c r="L551" s="15"/>
      <c r="M551" s="15"/>
      <c r="N551" s="15">
        <v>380</v>
      </c>
      <c r="O551" s="8">
        <f>C551/0.92</f>
        <v>78.99456521739128</v>
      </c>
      <c r="P551" s="15"/>
      <c r="Q551" s="15"/>
      <c r="R551" s="8">
        <f>1.454*C551</f>
        <v>105.66944999999997</v>
      </c>
      <c r="S551" s="9">
        <f>E551*1.454*0.4</f>
        <v>42.26777999999999</v>
      </c>
      <c r="T551" s="9">
        <f>E551*1.454*0.2</f>
        <v>21.133889999999994</v>
      </c>
      <c r="U551" s="9">
        <f>E551*1.454*0.2</f>
        <v>21.133889999999994</v>
      </c>
      <c r="V551" s="9">
        <f>E551*1.454*0.2</f>
        <v>21.133889999999994</v>
      </c>
      <c r="W551" s="9">
        <f>H551*1.454</f>
        <v>0</v>
      </c>
      <c r="X551" s="9">
        <f>K551*1.454</f>
        <v>0</v>
      </c>
      <c r="Y551" s="4">
        <f t="shared" si="74"/>
        <v>42.26777999999999</v>
      </c>
    </row>
    <row r="552" spans="1:25" ht="12.75" customHeight="1" outlineLevel="2">
      <c r="A552" s="160">
        <v>8</v>
      </c>
      <c r="B552" s="162" t="s">
        <v>659</v>
      </c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4">
        <f t="shared" si="74"/>
        <v>0</v>
      </c>
    </row>
    <row r="553" spans="1:25" ht="18" outlineLevel="2">
      <c r="A553" s="160"/>
      <c r="B553" s="15">
        <f>D553+G553+J553</f>
        <v>6</v>
      </c>
      <c r="C553" s="16">
        <f>E553+H553+K553</f>
        <v>42.35999999999999</v>
      </c>
      <c r="D553" s="15">
        <v>6</v>
      </c>
      <c r="E553" s="8">
        <f>D553*FORECAST(D553,AA$6:AA$7,Z$6:Z$7)</f>
        <v>42.35999999999999</v>
      </c>
      <c r="F553" s="15" t="s">
        <v>433</v>
      </c>
      <c r="G553" s="15"/>
      <c r="H553" s="15"/>
      <c r="I553" s="15"/>
      <c r="J553" s="15"/>
      <c r="K553" s="15"/>
      <c r="L553" s="15"/>
      <c r="M553" s="15">
        <v>800</v>
      </c>
      <c r="N553" s="15">
        <v>150</v>
      </c>
      <c r="O553" s="8">
        <f>C553/0.92</f>
        <v>46.043478260869556</v>
      </c>
      <c r="P553" s="15"/>
      <c r="Q553" s="15"/>
      <c r="R553" s="8">
        <f>1.454*C553</f>
        <v>61.591439999999984</v>
      </c>
      <c r="S553" s="9">
        <f>E553*1.454*0.4</f>
        <v>24.636575999999994</v>
      </c>
      <c r="T553" s="9">
        <f>E553*1.454*0.2</f>
        <v>12.318287999999997</v>
      </c>
      <c r="U553" s="9">
        <f>E553*1.454*0.2</f>
        <v>12.318287999999997</v>
      </c>
      <c r="V553" s="9">
        <f>E553*1.454*0.2</f>
        <v>12.318287999999997</v>
      </c>
      <c r="W553" s="9">
        <f>H553*1.454</f>
        <v>0</v>
      </c>
      <c r="X553" s="9">
        <f>K553*1.454</f>
        <v>0</v>
      </c>
      <c r="Y553" s="4">
        <f t="shared" si="74"/>
        <v>24.636575999999994</v>
      </c>
    </row>
    <row r="554" spans="1:25" ht="12.75" customHeight="1" outlineLevel="2">
      <c r="A554" s="160">
        <v>9</v>
      </c>
      <c r="B554" s="162" t="s">
        <v>566</v>
      </c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4">
        <f t="shared" si="74"/>
        <v>0</v>
      </c>
    </row>
    <row r="555" spans="1:25" ht="18" outlineLevel="2">
      <c r="A555" s="160"/>
      <c r="B555" s="15">
        <f>D555+G555+J555</f>
        <v>7</v>
      </c>
      <c r="C555" s="16">
        <f>E555+H555+K555</f>
        <v>46.50333333333332</v>
      </c>
      <c r="D555" s="15">
        <v>7</v>
      </c>
      <c r="E555" s="8">
        <f>D555*FORECAST(D555,AA$6:AA$7,Z$6:Z$7)</f>
        <v>46.50333333333332</v>
      </c>
      <c r="F555" s="15" t="s">
        <v>433</v>
      </c>
      <c r="G555" s="15"/>
      <c r="H555" s="15"/>
      <c r="I555" s="15"/>
      <c r="J555" s="15"/>
      <c r="K555" s="15"/>
      <c r="L555" s="15"/>
      <c r="M555" s="15"/>
      <c r="N555" s="15">
        <v>200</v>
      </c>
      <c r="O555" s="8">
        <f>C555/0.92</f>
        <v>50.54710144927535</v>
      </c>
      <c r="P555" s="15"/>
      <c r="Q555" s="15"/>
      <c r="R555" s="8">
        <f>1.454*C555</f>
        <v>67.61584666666666</v>
      </c>
      <c r="S555" s="9">
        <f>E555*1.454*0.4</f>
        <v>27.046338666666664</v>
      </c>
      <c r="T555" s="9">
        <f>E555*1.454*0.2</f>
        <v>13.523169333333332</v>
      </c>
      <c r="U555" s="9">
        <f>E555*1.454*0.2</f>
        <v>13.523169333333332</v>
      </c>
      <c r="V555" s="9">
        <f>E555*1.454*0.2</f>
        <v>13.523169333333332</v>
      </c>
      <c r="W555" s="9">
        <f>H555*1.454</f>
        <v>0</v>
      </c>
      <c r="X555" s="9">
        <f>K555*1.454</f>
        <v>0</v>
      </c>
      <c r="Y555" s="4">
        <f t="shared" si="74"/>
        <v>27.046338666666664</v>
      </c>
    </row>
    <row r="556" spans="1:25" ht="12.75" customHeight="1" outlineLevel="2">
      <c r="A556" s="160">
        <v>10</v>
      </c>
      <c r="B556" s="162" t="s">
        <v>567</v>
      </c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4">
        <f t="shared" si="74"/>
        <v>0</v>
      </c>
    </row>
    <row r="557" spans="1:25" ht="18" outlineLevel="2">
      <c r="A557" s="160"/>
      <c r="B557" s="15">
        <f>D557+G557+J557</f>
        <v>9</v>
      </c>
      <c r="C557" s="16">
        <f>E557+H557+K557</f>
        <v>52.290000000000006</v>
      </c>
      <c r="D557" s="15">
        <v>9</v>
      </c>
      <c r="E557" s="8">
        <f>D557*FORECAST(D557,AA$7:AA$8,Z$7:Z$8)</f>
        <v>52.290000000000006</v>
      </c>
      <c r="F557" s="15" t="s">
        <v>433</v>
      </c>
      <c r="G557" s="15"/>
      <c r="H557" s="15"/>
      <c r="I557" s="15"/>
      <c r="J557" s="15"/>
      <c r="K557" s="15"/>
      <c r="L557" s="15"/>
      <c r="M557" s="15"/>
      <c r="N557" s="15">
        <v>300</v>
      </c>
      <c r="O557" s="8">
        <f>C557/0.92</f>
        <v>56.83695652173913</v>
      </c>
      <c r="P557" s="15"/>
      <c r="Q557" s="15"/>
      <c r="R557" s="8">
        <f>1.454*C557</f>
        <v>76.02966</v>
      </c>
      <c r="S557" s="9">
        <f>E557*1.454*0.4</f>
        <v>30.411864000000005</v>
      </c>
      <c r="T557" s="9">
        <f>E557*1.454*0.2</f>
        <v>15.205932000000002</v>
      </c>
      <c r="U557" s="9">
        <f>E557*1.454*0.2</f>
        <v>15.205932000000002</v>
      </c>
      <c r="V557" s="9">
        <f>E557*1.454*0.2</f>
        <v>15.205932000000002</v>
      </c>
      <c r="W557" s="9">
        <f>H557*1.454</f>
        <v>0</v>
      </c>
      <c r="X557" s="9">
        <f>K557*1.454</f>
        <v>0</v>
      </c>
      <c r="Y557" s="4">
        <f t="shared" si="74"/>
        <v>30.411864000000005</v>
      </c>
    </row>
    <row r="558" spans="1:25" ht="12.75" customHeight="1" outlineLevel="2">
      <c r="A558" s="160">
        <v>11</v>
      </c>
      <c r="B558" s="162" t="s">
        <v>568</v>
      </c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4">
        <f t="shared" si="74"/>
        <v>0</v>
      </c>
    </row>
    <row r="559" spans="1:25" ht="18" outlineLevel="2">
      <c r="A559" s="160"/>
      <c r="B559" s="15">
        <f>D559+G559+J559</f>
        <v>5</v>
      </c>
      <c r="C559" s="15">
        <f>E559+H559+K559</f>
        <v>37.6</v>
      </c>
      <c r="D559" s="15">
        <v>5</v>
      </c>
      <c r="E559" s="8">
        <f>D559*FORECAST(D559,AA$5:AA$6,Z$5:Z$6)</f>
        <v>37.6</v>
      </c>
      <c r="F559" s="15" t="s">
        <v>433</v>
      </c>
      <c r="G559" s="15"/>
      <c r="H559" s="15"/>
      <c r="I559" s="15"/>
      <c r="J559" s="15"/>
      <c r="K559" s="15"/>
      <c r="L559" s="15"/>
      <c r="M559" s="15"/>
      <c r="N559" s="15">
        <v>180</v>
      </c>
      <c r="O559" s="8">
        <f>C559/0.92</f>
        <v>40.869565217391305</v>
      </c>
      <c r="P559" s="15"/>
      <c r="Q559" s="15"/>
      <c r="R559" s="8">
        <f>1.454*C559</f>
        <v>54.6704</v>
      </c>
      <c r="S559" s="9">
        <f>E559*1.454*0.4</f>
        <v>21.868160000000003</v>
      </c>
      <c r="T559" s="9">
        <f>E559*1.454*0.2</f>
        <v>10.934080000000002</v>
      </c>
      <c r="U559" s="9">
        <f>E559*1.454*0.2</f>
        <v>10.934080000000002</v>
      </c>
      <c r="V559" s="9">
        <f>E559*1.454*0.2</f>
        <v>10.934080000000002</v>
      </c>
      <c r="W559" s="9">
        <f>H559*1.454</f>
        <v>0</v>
      </c>
      <c r="X559" s="9">
        <f>K559*1.454</f>
        <v>0</v>
      </c>
      <c r="Y559" s="4">
        <f t="shared" si="74"/>
        <v>21.868160000000003</v>
      </c>
    </row>
    <row r="560" spans="1:25" ht="12.75" customHeight="1" outlineLevel="2">
      <c r="A560" s="160">
        <v>12</v>
      </c>
      <c r="B560" s="162" t="s">
        <v>569</v>
      </c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4">
        <f t="shared" si="74"/>
        <v>0</v>
      </c>
    </row>
    <row r="561" spans="1:25" ht="18" outlineLevel="2">
      <c r="A561" s="160"/>
      <c r="B561" s="15">
        <f>D561+G561+J561</f>
        <v>4</v>
      </c>
      <c r="C561" s="16">
        <f>E561+H561+K561</f>
        <v>31.92</v>
      </c>
      <c r="D561" s="15">
        <v>4</v>
      </c>
      <c r="E561" s="8">
        <f>D561*FORECAST(D561,AA$5:AA$6,Z$5:Z$6)</f>
        <v>31.92</v>
      </c>
      <c r="F561" s="15" t="s">
        <v>433</v>
      </c>
      <c r="G561" s="15"/>
      <c r="H561" s="15"/>
      <c r="I561" s="15"/>
      <c r="J561" s="15"/>
      <c r="K561" s="15"/>
      <c r="L561" s="15"/>
      <c r="M561" s="15"/>
      <c r="N561" s="15">
        <v>100</v>
      </c>
      <c r="O561" s="8">
        <f>C561/0.92</f>
        <v>34.69565217391305</v>
      </c>
      <c r="P561" s="15"/>
      <c r="Q561" s="15"/>
      <c r="R561" s="8">
        <f>1.454*C561</f>
        <v>46.411680000000004</v>
      </c>
      <c r="S561" s="9">
        <f>E561*1.454*0.4</f>
        <v>18.564672</v>
      </c>
      <c r="T561" s="9">
        <f>E561*1.454*0.2</f>
        <v>9.282336</v>
      </c>
      <c r="U561" s="9">
        <f>E561*1.454*0.2</f>
        <v>9.282336</v>
      </c>
      <c r="V561" s="9">
        <f>E561*1.454*0.2</f>
        <v>9.282336</v>
      </c>
      <c r="W561" s="9">
        <f>H561*1.454</f>
        <v>0</v>
      </c>
      <c r="X561" s="9">
        <f>K561*1.454</f>
        <v>0</v>
      </c>
      <c r="Y561" s="4">
        <f t="shared" si="74"/>
        <v>18.564672</v>
      </c>
    </row>
    <row r="562" spans="1:25" ht="12.75" customHeight="1" outlineLevel="2">
      <c r="A562" s="160">
        <v>13</v>
      </c>
      <c r="B562" s="162" t="s">
        <v>570</v>
      </c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4">
        <f t="shared" si="74"/>
        <v>0</v>
      </c>
    </row>
    <row r="563" spans="1:25" ht="18" outlineLevel="2">
      <c r="A563" s="160"/>
      <c r="B563" s="15">
        <f>D563+G563+J563</f>
        <v>11</v>
      </c>
      <c r="C563" s="16">
        <f>E563+H563+K563</f>
        <v>79.81333333333332</v>
      </c>
      <c r="D563" s="15">
        <v>8</v>
      </c>
      <c r="E563" s="8">
        <f>D563*FORECAST(D563,AA$6:AA$7,Z$6:Z$7)</f>
        <v>49.81333333333332</v>
      </c>
      <c r="F563" s="15" t="s">
        <v>433</v>
      </c>
      <c r="G563" s="15"/>
      <c r="H563" s="15"/>
      <c r="I563" s="15"/>
      <c r="J563" s="15">
        <v>3</v>
      </c>
      <c r="K563" s="15">
        <v>30</v>
      </c>
      <c r="L563" s="15" t="s">
        <v>433</v>
      </c>
      <c r="M563" s="15"/>
      <c r="N563" s="15">
        <v>300</v>
      </c>
      <c r="O563" s="8">
        <f>C563/0.92</f>
        <v>86.75362318840578</v>
      </c>
      <c r="P563" s="15"/>
      <c r="Q563" s="15"/>
      <c r="R563" s="8">
        <f>1.454*C563</f>
        <v>116.04858666666664</v>
      </c>
      <c r="S563" s="9">
        <f>E563*1.454*0.4</f>
        <v>28.97143466666666</v>
      </c>
      <c r="T563" s="9">
        <f>E563*1.454*0.2</f>
        <v>14.48571733333333</v>
      </c>
      <c r="U563" s="9">
        <f>E563*1.454*0.2</f>
        <v>14.48571733333333</v>
      </c>
      <c r="V563" s="9">
        <f>E563*1.454*0.2</f>
        <v>14.48571733333333</v>
      </c>
      <c r="W563" s="9">
        <f>H563*1.454</f>
        <v>0</v>
      </c>
      <c r="X563" s="9">
        <f>K563*1.454</f>
        <v>43.62</v>
      </c>
      <c r="Y563" s="4">
        <f t="shared" si="74"/>
        <v>28.97143466666666</v>
      </c>
    </row>
    <row r="564" spans="1:25" ht="108" outlineLevel="2">
      <c r="A564" s="6" t="s">
        <v>444</v>
      </c>
      <c r="B564" s="6">
        <f>B539+B541+B543+B545+B547+B549+B551+B553+B555+B557+B559+B561+B563</f>
        <v>213</v>
      </c>
      <c r="C564" s="19">
        <f>C539+C541+C543+C545+C547+C549+C551+C553+C555+C557+C559+C561+C563</f>
        <v>960.3106666666664</v>
      </c>
      <c r="D564" s="6">
        <f>D539+D541+D543+D545+D547+D549+D551+D553+D555+D557+D559+D561+D563</f>
        <v>208</v>
      </c>
      <c r="E564" s="19">
        <f>E539+E541+E543+E545+E547+E549+E551+E553+E555+E557+E559+E561+E563</f>
        <v>830.3106666666664</v>
      </c>
      <c r="F564" s="6" t="s">
        <v>433</v>
      </c>
      <c r="G564" s="6">
        <f>G539+G541+G543+G545+G547+G549+G551+G553+G555+G557+G559+G561+G563</f>
        <v>0</v>
      </c>
      <c r="H564" s="6">
        <f>H539+H541+H543+H545+H547+H549+H551+H553+H555+H557+H559+H561+H563</f>
        <v>0</v>
      </c>
      <c r="I564" s="6" t="s">
        <v>471</v>
      </c>
      <c r="J564" s="6">
        <f>J539+J541+J543+J545+J547+J549+J551+J553+J555+J557+J559+J561+J563</f>
        <v>5</v>
      </c>
      <c r="K564" s="6">
        <f>K539+K541+K543+K545+K547+K549+K551+K553+K555+K557+K559+K561+K563</f>
        <v>130</v>
      </c>
      <c r="L564" s="6" t="s">
        <v>433</v>
      </c>
      <c r="M564" s="6">
        <f>M539+M541+M543+M545+M547+M549+M551+M553+M555+M557+M559+M561+M563</f>
        <v>900</v>
      </c>
      <c r="N564" s="6">
        <f>N539+N541+N543+N545+N547+N549+N551+N553+N555+N557+N559+N561+N563</f>
        <v>4890</v>
      </c>
      <c r="O564" s="19">
        <f>O539+O541+O543+O545+O547+O549+O551+O553+O555+O557+O559+O561+O563</f>
        <v>1043.815942028985</v>
      </c>
      <c r="P564" s="6">
        <v>2</v>
      </c>
      <c r="Q564" s="6">
        <v>630</v>
      </c>
      <c r="R564" s="19">
        <f aca="true" t="shared" si="76" ref="R564:X564">R539+R541+R543+R545+R547+R549+R551+R553+R555+R557+R559+R561+R563</f>
        <v>1396.2917093333328</v>
      </c>
      <c r="S564" s="19">
        <f t="shared" si="76"/>
        <v>482.90868373333325</v>
      </c>
      <c r="T564" s="19">
        <f t="shared" si="76"/>
        <v>241.45434186666662</v>
      </c>
      <c r="U564" s="19">
        <f t="shared" si="76"/>
        <v>241.45434186666662</v>
      </c>
      <c r="V564" s="19">
        <f t="shared" si="76"/>
        <v>241.45434186666662</v>
      </c>
      <c r="W564" s="19">
        <f t="shared" si="76"/>
        <v>0</v>
      </c>
      <c r="X564" s="19">
        <f t="shared" si="76"/>
        <v>189.02</v>
      </c>
      <c r="Y564" s="4">
        <f t="shared" si="74"/>
        <v>482.90868373333325</v>
      </c>
    </row>
    <row r="565" spans="1:25" ht="12.75" customHeight="1" outlineLevel="2">
      <c r="A565" s="160">
        <v>14</v>
      </c>
      <c r="B565" s="162" t="s">
        <v>560</v>
      </c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4">
        <f t="shared" si="74"/>
        <v>0</v>
      </c>
    </row>
    <row r="566" spans="1:25" ht="18" outlineLevel="2">
      <c r="A566" s="160"/>
      <c r="B566" s="15">
        <f>D566+G566+J566</f>
        <v>15</v>
      </c>
      <c r="C566" s="15">
        <f>E566+H566+K566</f>
        <v>65.1</v>
      </c>
      <c r="D566" s="15">
        <v>15</v>
      </c>
      <c r="E566" s="8">
        <f>D566*FORECAST(D566,AA$9:AA$10,Z$9:Z$10)</f>
        <v>65.1</v>
      </c>
      <c r="F566" s="15" t="s">
        <v>433</v>
      </c>
      <c r="G566" s="15"/>
      <c r="H566" s="15"/>
      <c r="I566" s="15"/>
      <c r="J566" s="15"/>
      <c r="K566" s="15"/>
      <c r="L566" s="15"/>
      <c r="M566" s="15"/>
      <c r="N566" s="15">
        <v>480</v>
      </c>
      <c r="O566" s="8">
        <f>C566/0.92</f>
        <v>70.76086956521738</v>
      </c>
      <c r="P566" s="15"/>
      <c r="Q566" s="15"/>
      <c r="R566" s="8">
        <f>1.454*C566</f>
        <v>94.65539999999999</v>
      </c>
      <c r="S566" s="9">
        <f>E566*1.454*0.4</f>
        <v>37.862159999999996</v>
      </c>
      <c r="T566" s="9">
        <f>E566*1.454*0.2</f>
        <v>18.931079999999998</v>
      </c>
      <c r="U566" s="9">
        <f>E566*1.454*0.2</f>
        <v>18.931079999999998</v>
      </c>
      <c r="V566" s="9">
        <f>E566*1.454*0.2</f>
        <v>18.931079999999998</v>
      </c>
      <c r="W566" s="9">
        <f>H566*1.454</f>
        <v>0</v>
      </c>
      <c r="X566" s="9">
        <f>K566*1.454</f>
        <v>0</v>
      </c>
      <c r="Y566" s="4">
        <f t="shared" si="74"/>
        <v>37.862159999999996</v>
      </c>
    </row>
    <row r="567" spans="1:25" ht="12.75" customHeight="1" outlineLevel="2">
      <c r="A567" s="160">
        <v>15</v>
      </c>
      <c r="B567" s="162" t="s">
        <v>571</v>
      </c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4">
        <f t="shared" si="74"/>
        <v>0</v>
      </c>
    </row>
    <row r="568" spans="1:25" ht="18" outlineLevel="2">
      <c r="A568" s="160"/>
      <c r="B568" s="15">
        <f>D568+G568+J568</f>
        <v>26</v>
      </c>
      <c r="C568" s="16">
        <f>E568+H568+K568</f>
        <v>84.8575</v>
      </c>
      <c r="D568" s="15">
        <v>26</v>
      </c>
      <c r="E568" s="8">
        <f>D568*FORECAST(D568,AA$11:AA$12,Z$11:Z$12)</f>
        <v>84.8575</v>
      </c>
      <c r="F568" s="15" t="s">
        <v>433</v>
      </c>
      <c r="G568" s="15"/>
      <c r="H568" s="15"/>
      <c r="I568" s="15"/>
      <c r="J568" s="15"/>
      <c r="K568" s="15"/>
      <c r="L568" s="15"/>
      <c r="M568" s="15"/>
      <c r="N568" s="15">
        <v>450</v>
      </c>
      <c r="O568" s="8">
        <f>C568/0.92</f>
        <v>92.23641304347827</v>
      </c>
      <c r="P568" s="15"/>
      <c r="Q568" s="15"/>
      <c r="R568" s="8">
        <f>1.454*C568</f>
        <v>123.382805</v>
      </c>
      <c r="S568" s="9">
        <f>E568*1.454*0.4</f>
        <v>49.353122000000006</v>
      </c>
      <c r="T568" s="9">
        <f>E568*1.454*0.2</f>
        <v>24.676561000000003</v>
      </c>
      <c r="U568" s="9">
        <f>E568*1.454*0.2</f>
        <v>24.676561000000003</v>
      </c>
      <c r="V568" s="9">
        <f>E568*1.454*0.2</f>
        <v>24.676561000000003</v>
      </c>
      <c r="W568" s="9">
        <f>H568*1.454</f>
        <v>0</v>
      </c>
      <c r="X568" s="9">
        <f>K568*1.454</f>
        <v>0</v>
      </c>
      <c r="Y568" s="4">
        <f t="shared" si="74"/>
        <v>49.353122000000006</v>
      </c>
    </row>
    <row r="569" spans="1:25" ht="12.75" customHeight="1" outlineLevel="2">
      <c r="A569" s="160">
        <v>16</v>
      </c>
      <c r="B569" s="162" t="s">
        <v>572</v>
      </c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4">
        <f t="shared" si="74"/>
        <v>0</v>
      </c>
    </row>
    <row r="570" spans="1:25" ht="18" outlineLevel="2">
      <c r="A570" s="160"/>
      <c r="B570" s="15">
        <f>D570+G570+J570</f>
        <v>22</v>
      </c>
      <c r="C570" s="16">
        <f>E570+H570+K570</f>
        <v>77.88</v>
      </c>
      <c r="D570" s="15">
        <v>22</v>
      </c>
      <c r="E570" s="8">
        <f>D570*FORECAST(D570,AA$10:AA$11,Z$10:Z$11)</f>
        <v>77.88</v>
      </c>
      <c r="F570" s="15" t="s">
        <v>433</v>
      </c>
      <c r="G570" s="15"/>
      <c r="H570" s="15"/>
      <c r="I570" s="15"/>
      <c r="J570" s="15"/>
      <c r="K570" s="15"/>
      <c r="L570" s="15"/>
      <c r="M570" s="15"/>
      <c r="N570" s="15">
        <v>370</v>
      </c>
      <c r="O570" s="8">
        <f>C570/0.92</f>
        <v>84.65217391304347</v>
      </c>
      <c r="P570" s="15"/>
      <c r="Q570" s="15"/>
      <c r="R570" s="8">
        <f>1.454*C570</f>
        <v>113.23751999999999</v>
      </c>
      <c r="S570" s="9">
        <f>E570*1.454*0.4</f>
        <v>45.295007999999996</v>
      </c>
      <c r="T570" s="9">
        <f>E570*1.454*0.2</f>
        <v>22.647503999999998</v>
      </c>
      <c r="U570" s="9">
        <f>E570*1.454*0.2</f>
        <v>22.647503999999998</v>
      </c>
      <c r="V570" s="9">
        <f>E570*1.454*0.2</f>
        <v>22.647503999999998</v>
      </c>
      <c r="W570" s="9">
        <f>H570*1.454</f>
        <v>0</v>
      </c>
      <c r="X570" s="9">
        <f>K570*1.454</f>
        <v>0</v>
      </c>
      <c r="Y570" s="4">
        <f t="shared" si="74"/>
        <v>45.295007999999996</v>
      </c>
    </row>
    <row r="571" spans="1:25" ht="12.75" customHeight="1" outlineLevel="2">
      <c r="A571" s="160">
        <v>17</v>
      </c>
      <c r="B571" s="162" t="s">
        <v>660</v>
      </c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4">
        <f t="shared" si="74"/>
        <v>0</v>
      </c>
    </row>
    <row r="572" spans="1:25" ht="18" outlineLevel="2">
      <c r="A572" s="160"/>
      <c r="B572" s="15">
        <f>D572+G572+J572</f>
        <v>6</v>
      </c>
      <c r="C572" s="16">
        <f>E572+H572+K572</f>
        <v>42.35999999999999</v>
      </c>
      <c r="D572" s="15">
        <v>6</v>
      </c>
      <c r="E572" s="8">
        <f>D572*FORECAST(D572,AA$6:AA$7,Z$6:Z$7)</f>
        <v>42.35999999999999</v>
      </c>
      <c r="F572" s="15" t="s">
        <v>433</v>
      </c>
      <c r="G572" s="15"/>
      <c r="H572" s="15"/>
      <c r="I572" s="15"/>
      <c r="J572" s="15"/>
      <c r="K572" s="15"/>
      <c r="L572" s="15"/>
      <c r="M572" s="15">
        <v>1000</v>
      </c>
      <c r="N572" s="15">
        <v>370</v>
      </c>
      <c r="O572" s="8">
        <f>C572/0.92</f>
        <v>46.043478260869556</v>
      </c>
      <c r="P572" s="15"/>
      <c r="Q572" s="15"/>
      <c r="R572" s="8">
        <f>1.454*C572</f>
        <v>61.591439999999984</v>
      </c>
      <c r="S572" s="9">
        <f>E572*1.454*0.4</f>
        <v>24.636575999999994</v>
      </c>
      <c r="T572" s="9">
        <f>E572*1.454*0.2</f>
        <v>12.318287999999997</v>
      </c>
      <c r="U572" s="9">
        <f>E572*1.454*0.2</f>
        <v>12.318287999999997</v>
      </c>
      <c r="V572" s="9">
        <f>E572*1.454*0.2</f>
        <v>12.318287999999997</v>
      </c>
      <c r="W572" s="9">
        <f>H572*1.454</f>
        <v>0</v>
      </c>
      <c r="X572" s="9">
        <f>K572*1.454</f>
        <v>0</v>
      </c>
      <c r="Y572" s="4">
        <f t="shared" si="74"/>
        <v>24.636575999999994</v>
      </c>
    </row>
    <row r="573" spans="1:25" ht="108" outlineLevel="2">
      <c r="A573" s="6" t="s">
        <v>445</v>
      </c>
      <c r="B573" s="6">
        <f>B566+B568+B570+B572</f>
        <v>69</v>
      </c>
      <c r="C573" s="19">
        <f>C566+C568+C570+C572</f>
        <v>270.1975</v>
      </c>
      <c r="D573" s="6">
        <f>D566+D568+D570+D572</f>
        <v>69</v>
      </c>
      <c r="E573" s="19">
        <f>E566+E568+E570+E572</f>
        <v>270.1975</v>
      </c>
      <c r="F573" s="6" t="s">
        <v>433</v>
      </c>
      <c r="G573" s="6">
        <f>G566+G568+G570+G572</f>
        <v>0</v>
      </c>
      <c r="H573" s="6">
        <f>H566+H568+H570+H572</f>
        <v>0</v>
      </c>
      <c r="I573" s="6" t="s">
        <v>441</v>
      </c>
      <c r="J573" s="6">
        <f>J566+J568+J570+J572</f>
        <v>0</v>
      </c>
      <c r="K573" s="6">
        <f>K566+K568+K570+K572</f>
        <v>0</v>
      </c>
      <c r="L573" s="6" t="s">
        <v>441</v>
      </c>
      <c r="M573" s="6">
        <f>M566+M568+M570+M572</f>
        <v>1000</v>
      </c>
      <c r="N573" s="6">
        <f>N566+N568+N570+N572</f>
        <v>1670</v>
      </c>
      <c r="O573" s="19">
        <f>O566+O568+O570+O572</f>
        <v>293.69293478260863</v>
      </c>
      <c r="P573" s="6">
        <v>1</v>
      </c>
      <c r="Q573" s="6">
        <v>630</v>
      </c>
      <c r="R573" s="19">
        <f aca="true" t="shared" si="77" ref="R573:X573">R566+R568+R570+R572</f>
        <v>392.86716499999994</v>
      </c>
      <c r="S573" s="19">
        <f t="shared" si="77"/>
        <v>157.146866</v>
      </c>
      <c r="T573" s="19">
        <f t="shared" si="77"/>
        <v>78.573433</v>
      </c>
      <c r="U573" s="19">
        <f t="shared" si="77"/>
        <v>78.573433</v>
      </c>
      <c r="V573" s="19">
        <f t="shared" si="77"/>
        <v>78.573433</v>
      </c>
      <c r="W573" s="19">
        <f t="shared" si="77"/>
        <v>0</v>
      </c>
      <c r="X573" s="19">
        <f t="shared" si="77"/>
        <v>0</v>
      </c>
      <c r="Y573" s="4">
        <f t="shared" si="74"/>
        <v>157.146866</v>
      </c>
    </row>
    <row r="574" spans="1:25" ht="12.75" customHeight="1" outlineLevel="2">
      <c r="A574" s="160">
        <v>18</v>
      </c>
      <c r="B574" s="162" t="s">
        <v>661</v>
      </c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4">
        <f t="shared" si="74"/>
        <v>0</v>
      </c>
    </row>
    <row r="575" spans="1:25" ht="18" outlineLevel="2">
      <c r="A575" s="160"/>
      <c r="B575" s="15">
        <f>D575+G575+J575</f>
        <v>23</v>
      </c>
      <c r="C575" s="16">
        <f>E575+H575+K575</f>
        <v>79.23499999999999</v>
      </c>
      <c r="D575" s="15">
        <v>23</v>
      </c>
      <c r="E575" s="8">
        <f>D575*FORECAST(D575,AA$10:AA$11,Z$10:Z$11)</f>
        <v>79.23499999999999</v>
      </c>
      <c r="F575" s="15" t="s">
        <v>433</v>
      </c>
      <c r="G575" s="15"/>
      <c r="H575" s="15"/>
      <c r="I575" s="15"/>
      <c r="J575" s="15"/>
      <c r="K575" s="15"/>
      <c r="L575" s="15"/>
      <c r="M575" s="15">
        <v>500</v>
      </c>
      <c r="N575" s="15">
        <v>500</v>
      </c>
      <c r="O575" s="8">
        <f>C575/0.92</f>
        <v>86.12499999999999</v>
      </c>
      <c r="P575" s="15"/>
      <c r="Q575" s="15"/>
      <c r="R575" s="8">
        <f>1.454*C575</f>
        <v>115.20768999999997</v>
      </c>
      <c r="S575" s="9">
        <f>E575*1.454*0.4</f>
        <v>46.08307599999999</v>
      </c>
      <c r="T575" s="9">
        <f>E575*1.454*0.2</f>
        <v>23.041537999999996</v>
      </c>
      <c r="U575" s="9">
        <f>E575*1.454*0.2</f>
        <v>23.041537999999996</v>
      </c>
      <c r="V575" s="9">
        <f>E575*1.454*0.2</f>
        <v>23.041537999999996</v>
      </c>
      <c r="W575" s="9">
        <f>H575*1.454</f>
        <v>0</v>
      </c>
      <c r="X575" s="9">
        <f>K575*1.454</f>
        <v>0</v>
      </c>
      <c r="Y575" s="4">
        <f t="shared" si="74"/>
        <v>46.08307599999999</v>
      </c>
    </row>
    <row r="576" spans="1:25" ht="12.75" customHeight="1" outlineLevel="2">
      <c r="A576" s="160">
        <v>19</v>
      </c>
      <c r="B576" s="162" t="s">
        <v>573</v>
      </c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4">
        <f t="shared" si="74"/>
        <v>0</v>
      </c>
    </row>
    <row r="577" spans="1:25" ht="18" outlineLevel="2">
      <c r="A577" s="160"/>
      <c r="B577" s="15">
        <f>D577+G577+J577</f>
        <v>11</v>
      </c>
      <c r="C577" s="16">
        <f>E577+H577+K577</f>
        <v>57.67666666666668</v>
      </c>
      <c r="D577" s="15">
        <v>11</v>
      </c>
      <c r="E577" s="8">
        <f>D577*FORECAST(D577,AA$7:AA$8,Z$7:Z$8)</f>
        <v>57.67666666666668</v>
      </c>
      <c r="F577" s="15" t="s">
        <v>433</v>
      </c>
      <c r="G577" s="15"/>
      <c r="H577" s="15"/>
      <c r="I577" s="15"/>
      <c r="J577" s="15"/>
      <c r="K577" s="15"/>
      <c r="L577" s="15"/>
      <c r="M577" s="15"/>
      <c r="N577" s="15">
        <v>360</v>
      </c>
      <c r="O577" s="8">
        <f>C577/0.92</f>
        <v>62.69202898550726</v>
      </c>
      <c r="P577" s="15"/>
      <c r="Q577" s="15"/>
      <c r="R577" s="8">
        <f>1.454*C577</f>
        <v>83.86187333333335</v>
      </c>
      <c r="S577" s="9">
        <f>E577*1.454*0.4</f>
        <v>33.54474933333334</v>
      </c>
      <c r="T577" s="9">
        <f>E577*1.454*0.2</f>
        <v>16.77237466666667</v>
      </c>
      <c r="U577" s="9">
        <f>E577*1.454*0.2</f>
        <v>16.77237466666667</v>
      </c>
      <c r="V577" s="9">
        <f>E577*1.454*0.2</f>
        <v>16.77237466666667</v>
      </c>
      <c r="W577" s="9">
        <f>H577*1.454</f>
        <v>0</v>
      </c>
      <c r="X577" s="9">
        <f>K577*1.454</f>
        <v>0</v>
      </c>
      <c r="Y577" s="4">
        <f t="shared" si="74"/>
        <v>33.54474933333334</v>
      </c>
    </row>
    <row r="578" spans="1:25" ht="12.75" customHeight="1" outlineLevel="2">
      <c r="A578" s="160">
        <v>20</v>
      </c>
      <c r="B578" s="162" t="s">
        <v>574</v>
      </c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4">
        <f t="shared" si="74"/>
        <v>0</v>
      </c>
    </row>
    <row r="579" spans="1:25" ht="18" outlineLevel="2">
      <c r="A579" s="160"/>
      <c r="B579" s="15">
        <f>D579+G579+J579</f>
        <v>12</v>
      </c>
      <c r="C579" s="16">
        <f>E579+H579+K579</f>
        <v>59.52000000000001</v>
      </c>
      <c r="D579" s="15">
        <v>12</v>
      </c>
      <c r="E579" s="8">
        <f>D579*FORECAST(D579,AA$7:AA$8,Z$7:Z$8)</f>
        <v>59.52000000000001</v>
      </c>
      <c r="F579" s="15" t="s">
        <v>433</v>
      </c>
      <c r="G579" s="15"/>
      <c r="H579" s="15"/>
      <c r="I579" s="15"/>
      <c r="J579" s="15"/>
      <c r="K579" s="15"/>
      <c r="L579" s="15"/>
      <c r="M579" s="15"/>
      <c r="N579" s="15">
        <v>340</v>
      </c>
      <c r="O579" s="8">
        <f>C579/0.92</f>
        <v>64.69565217391305</v>
      </c>
      <c r="P579" s="15"/>
      <c r="Q579" s="15"/>
      <c r="R579" s="8">
        <f>1.454*C579</f>
        <v>86.54208000000001</v>
      </c>
      <c r="S579" s="9">
        <f>E579*1.454*0.4</f>
        <v>34.61683200000001</v>
      </c>
      <c r="T579" s="9">
        <f>E579*1.454*0.2</f>
        <v>17.308416000000005</v>
      </c>
      <c r="U579" s="9">
        <f>E579*1.454*0.2</f>
        <v>17.308416000000005</v>
      </c>
      <c r="V579" s="9">
        <f>E579*1.454*0.2</f>
        <v>17.308416000000005</v>
      </c>
      <c r="W579" s="9">
        <f>H579*1.454</f>
        <v>0</v>
      </c>
      <c r="X579" s="9">
        <f>K579*1.454</f>
        <v>0</v>
      </c>
      <c r="Y579" s="4">
        <f t="shared" si="74"/>
        <v>34.61683200000001</v>
      </c>
    </row>
    <row r="580" spans="1:25" ht="12.75" customHeight="1" outlineLevel="2">
      <c r="A580" s="160">
        <v>21</v>
      </c>
      <c r="B580" s="162" t="s">
        <v>575</v>
      </c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4">
        <f t="shared" si="74"/>
        <v>0</v>
      </c>
    </row>
    <row r="581" spans="1:25" ht="18" outlineLevel="2">
      <c r="A581" s="160"/>
      <c r="B581" s="15">
        <f>D581+G581+J581</f>
        <v>11</v>
      </c>
      <c r="C581" s="16">
        <f>E581+H581+K581</f>
        <v>57.67666666666668</v>
      </c>
      <c r="D581" s="15">
        <v>11</v>
      </c>
      <c r="E581" s="8">
        <f>D581*FORECAST(D581,AA$7:AA$8,Z$7:Z$8)</f>
        <v>57.67666666666668</v>
      </c>
      <c r="F581" s="15" t="s">
        <v>433</v>
      </c>
      <c r="G581" s="15"/>
      <c r="H581" s="15"/>
      <c r="I581" s="15"/>
      <c r="J581" s="15"/>
      <c r="K581" s="15"/>
      <c r="L581" s="15"/>
      <c r="M581" s="15"/>
      <c r="N581" s="15">
        <v>160</v>
      </c>
      <c r="O581" s="8">
        <f>C581/0.92</f>
        <v>62.69202898550726</v>
      </c>
      <c r="P581" s="15"/>
      <c r="Q581" s="15"/>
      <c r="R581" s="8">
        <f>1.454*C581</f>
        <v>83.86187333333335</v>
      </c>
      <c r="S581" s="9">
        <f>E581*1.454*0.4</f>
        <v>33.54474933333334</v>
      </c>
      <c r="T581" s="9">
        <f>E581*1.454*0.2</f>
        <v>16.77237466666667</v>
      </c>
      <c r="U581" s="9">
        <f>E581*1.454*0.2</f>
        <v>16.77237466666667</v>
      </c>
      <c r="V581" s="9">
        <f>E581*1.454*0.2</f>
        <v>16.77237466666667</v>
      </c>
      <c r="W581" s="9">
        <f>H581*1.454</f>
        <v>0</v>
      </c>
      <c r="X581" s="9">
        <f>K581*1.454</f>
        <v>0</v>
      </c>
      <c r="Y581" s="4">
        <f t="shared" si="74"/>
        <v>33.54474933333334</v>
      </c>
    </row>
    <row r="582" spans="1:25" ht="90" outlineLevel="2">
      <c r="A582" s="6" t="s">
        <v>43</v>
      </c>
      <c r="B582" s="6">
        <f>B575+B577+B579+B581</f>
        <v>57</v>
      </c>
      <c r="C582" s="19">
        <f>C575+C577+C579+C581</f>
        <v>254.10833333333335</v>
      </c>
      <c r="D582" s="6">
        <f>D575+D577+D579+D581</f>
        <v>57</v>
      </c>
      <c r="E582" s="19">
        <f>E575+E577+E579+E581</f>
        <v>254.10833333333335</v>
      </c>
      <c r="F582" s="6" t="s">
        <v>433</v>
      </c>
      <c r="G582" s="6">
        <f>G575+G577+G579+G581</f>
        <v>0</v>
      </c>
      <c r="H582" s="6">
        <f>H575+H577+H579+H581</f>
        <v>0</v>
      </c>
      <c r="I582" s="6" t="s">
        <v>698</v>
      </c>
      <c r="J582" s="6">
        <f>J575+J577+J579+J581</f>
        <v>0</v>
      </c>
      <c r="K582" s="6">
        <f>K575+K577+K579+K581</f>
        <v>0</v>
      </c>
      <c r="L582" s="6" t="s">
        <v>441</v>
      </c>
      <c r="M582" s="6">
        <f>M575+M577+M579+M581</f>
        <v>500</v>
      </c>
      <c r="N582" s="6">
        <f>N575+N577+N579+N581</f>
        <v>1360</v>
      </c>
      <c r="O582" s="19">
        <f>O575+O577+O579+O581</f>
        <v>276.20471014492756</v>
      </c>
      <c r="P582" s="6">
        <v>1</v>
      </c>
      <c r="Q582" s="6">
        <v>630</v>
      </c>
      <c r="R582" s="19">
        <f aca="true" t="shared" si="78" ref="R582:X582">R575+R577+R579+R581</f>
        <v>369.4735166666667</v>
      </c>
      <c r="S582" s="19">
        <f t="shared" si="78"/>
        <v>147.7894066666667</v>
      </c>
      <c r="T582" s="19">
        <f t="shared" si="78"/>
        <v>73.89470333333335</v>
      </c>
      <c r="U582" s="19">
        <f t="shared" si="78"/>
        <v>73.89470333333335</v>
      </c>
      <c r="V582" s="19">
        <f t="shared" si="78"/>
        <v>73.89470333333335</v>
      </c>
      <c r="W582" s="19">
        <f t="shared" si="78"/>
        <v>0</v>
      </c>
      <c r="X582" s="19">
        <f t="shared" si="78"/>
        <v>0</v>
      </c>
      <c r="Y582" s="4">
        <f t="shared" si="74"/>
        <v>147.7894066666667</v>
      </c>
    </row>
    <row r="583" spans="1:25" ht="36" outlineLevel="2">
      <c r="A583" s="6" t="s">
        <v>431</v>
      </c>
      <c r="B583" s="6">
        <f>B564+B573+B582</f>
        <v>339</v>
      </c>
      <c r="C583" s="19">
        <f>C564+C573+C582</f>
        <v>1484.6164999999999</v>
      </c>
      <c r="D583" s="6">
        <f>D564+D573+D582</f>
        <v>334</v>
      </c>
      <c r="E583" s="19">
        <f>E564+E573+E582</f>
        <v>1354.6164999999999</v>
      </c>
      <c r="F583" s="6" t="s">
        <v>433</v>
      </c>
      <c r="G583" s="19">
        <f>G564+G573+G582</f>
        <v>0</v>
      </c>
      <c r="H583" s="6">
        <f>H564+H573+H582</f>
        <v>0</v>
      </c>
      <c r="I583" s="6" t="s">
        <v>441</v>
      </c>
      <c r="J583" s="6">
        <f>J564+J573+J582</f>
        <v>5</v>
      </c>
      <c r="K583" s="6">
        <f>K564+K573+K582</f>
        <v>130</v>
      </c>
      <c r="L583" s="6" t="s">
        <v>433</v>
      </c>
      <c r="M583" s="6">
        <f aca="true" t="shared" si="79" ref="M583:X583">M564+M573+M582</f>
        <v>2400</v>
      </c>
      <c r="N583" s="6">
        <f t="shared" si="79"/>
        <v>7920</v>
      </c>
      <c r="O583" s="19">
        <f t="shared" si="79"/>
        <v>1613.7135869565213</v>
      </c>
      <c r="P583" s="24">
        <f t="shared" si="79"/>
        <v>4</v>
      </c>
      <c r="Q583" s="24">
        <f t="shared" si="79"/>
        <v>1890</v>
      </c>
      <c r="R583" s="19">
        <f t="shared" si="79"/>
        <v>2158.632390999999</v>
      </c>
      <c r="S583" s="19">
        <f t="shared" si="79"/>
        <v>787.8449564</v>
      </c>
      <c r="T583" s="19">
        <f t="shared" si="79"/>
        <v>393.9224782</v>
      </c>
      <c r="U583" s="19">
        <f t="shared" si="79"/>
        <v>393.9224782</v>
      </c>
      <c r="V583" s="19">
        <f t="shared" si="79"/>
        <v>393.9224782</v>
      </c>
      <c r="W583" s="19">
        <f t="shared" si="79"/>
        <v>0</v>
      </c>
      <c r="X583" s="19">
        <f t="shared" si="79"/>
        <v>189.02</v>
      </c>
      <c r="Y583" s="4">
        <f t="shared" si="74"/>
        <v>787.8449564</v>
      </c>
    </row>
    <row r="584" spans="1:25" ht="12.75" customHeight="1" outlineLevel="2">
      <c r="A584" s="160" t="s">
        <v>662</v>
      </c>
      <c r="B584" s="160"/>
      <c r="C584" s="160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4">
        <f t="shared" si="74"/>
        <v>0</v>
      </c>
    </row>
    <row r="585" spans="1:25" ht="12.75" customHeight="1" outlineLevel="2">
      <c r="A585" s="170">
        <v>1</v>
      </c>
      <c r="B585" s="162" t="s">
        <v>576</v>
      </c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4">
        <f t="shared" si="74"/>
        <v>0</v>
      </c>
    </row>
    <row r="586" spans="1:25" ht="18" outlineLevel="2">
      <c r="A586" s="170"/>
      <c r="B586" s="15">
        <f>D586+G586+J586</f>
        <v>31</v>
      </c>
      <c r="C586" s="16">
        <f>E586+H586+K586</f>
        <v>94.491875</v>
      </c>
      <c r="D586" s="15">
        <v>31</v>
      </c>
      <c r="E586" s="8">
        <f>D586*FORECAST(D586,AA$11:AA$12,Z$11:Z$12)</f>
        <v>94.491875</v>
      </c>
      <c r="F586" s="15" t="s">
        <v>433</v>
      </c>
      <c r="G586" s="15"/>
      <c r="H586" s="15"/>
      <c r="I586" s="15"/>
      <c r="J586" s="15"/>
      <c r="K586" s="15"/>
      <c r="L586" s="15"/>
      <c r="M586" s="15"/>
      <c r="N586" s="15">
        <v>1670</v>
      </c>
      <c r="O586" s="8">
        <f>C586/0.92</f>
        <v>102.70855978260869</v>
      </c>
      <c r="P586" s="15"/>
      <c r="Q586" s="15"/>
      <c r="R586" s="8">
        <f>1.454*C586</f>
        <v>137.39118624999998</v>
      </c>
      <c r="S586" s="9">
        <f>E586*1.454*0.4</f>
        <v>54.95647449999999</v>
      </c>
      <c r="T586" s="9">
        <f>E586*1.454*0.2</f>
        <v>27.478237249999996</v>
      </c>
      <c r="U586" s="9">
        <f>E586*1.454*0.2</f>
        <v>27.478237249999996</v>
      </c>
      <c r="V586" s="9">
        <f>E586*1.454*0.2</f>
        <v>27.478237249999996</v>
      </c>
      <c r="W586" s="9">
        <f>H586*1.454</f>
        <v>0</v>
      </c>
      <c r="X586" s="9">
        <f>K586*1.454</f>
        <v>0</v>
      </c>
      <c r="Y586" s="4">
        <f t="shared" si="74"/>
        <v>54.95647449999999</v>
      </c>
    </row>
    <row r="587" spans="1:25" ht="12.75" customHeight="1" outlineLevel="2">
      <c r="A587" s="170">
        <v>1</v>
      </c>
      <c r="B587" s="162" t="s">
        <v>577</v>
      </c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4">
        <f t="shared" si="74"/>
        <v>0</v>
      </c>
    </row>
    <row r="588" spans="1:25" ht="18" outlineLevel="2">
      <c r="A588" s="170"/>
      <c r="B588" s="15">
        <f>D588+G588+J588</f>
        <v>15</v>
      </c>
      <c r="C588" s="15">
        <f>E588+H588+K588</f>
        <v>65.10000000000001</v>
      </c>
      <c r="D588" s="15">
        <v>15</v>
      </c>
      <c r="E588" s="8">
        <f>D588*FORECAST(D588,AA$8:AA$9,Z$8:Z$9)</f>
        <v>65.10000000000001</v>
      </c>
      <c r="F588" s="15" t="s">
        <v>433</v>
      </c>
      <c r="G588" s="15"/>
      <c r="H588" s="15"/>
      <c r="I588" s="15"/>
      <c r="J588" s="15"/>
      <c r="K588" s="15"/>
      <c r="L588" s="15"/>
      <c r="M588" s="15"/>
      <c r="N588" s="15">
        <v>3000</v>
      </c>
      <c r="O588" s="8">
        <f>C588/0.92</f>
        <v>70.76086956521739</v>
      </c>
      <c r="P588" s="15"/>
      <c r="Q588" s="15"/>
      <c r="R588" s="8">
        <f>1.454*C588</f>
        <v>94.65540000000001</v>
      </c>
      <c r="S588" s="9">
        <f>E588*1.454*0.4</f>
        <v>37.86216000000001</v>
      </c>
      <c r="T588" s="9">
        <f>E588*1.454*0.2</f>
        <v>18.931080000000005</v>
      </c>
      <c r="U588" s="9">
        <f>E588*1.454*0.2</f>
        <v>18.931080000000005</v>
      </c>
      <c r="V588" s="9">
        <f>E588*1.454*0.2</f>
        <v>18.931080000000005</v>
      </c>
      <c r="W588" s="9">
        <f>H588*1.454</f>
        <v>0</v>
      </c>
      <c r="X588" s="9">
        <f>K588*1.454</f>
        <v>0</v>
      </c>
      <c r="Y588" s="4">
        <f t="shared" si="74"/>
        <v>37.86216000000001</v>
      </c>
    </row>
    <row r="589" spans="1:25" ht="12.75" customHeight="1" outlineLevel="2">
      <c r="A589" s="170">
        <v>1</v>
      </c>
      <c r="B589" s="162" t="s">
        <v>578</v>
      </c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4">
        <f t="shared" si="74"/>
        <v>0</v>
      </c>
    </row>
    <row r="590" spans="1:25" ht="18" outlineLevel="2">
      <c r="A590" s="170"/>
      <c r="B590" s="15">
        <f>D590+G590+J590</f>
        <v>10</v>
      </c>
      <c r="C590" s="16">
        <f>E590+H590+K590</f>
        <v>55.26666666666667</v>
      </c>
      <c r="D590" s="15">
        <v>10</v>
      </c>
      <c r="E590" s="8">
        <f>D590*FORECAST(D590,AA$7:AA$8,Z$7:Z$8)</f>
        <v>55.26666666666667</v>
      </c>
      <c r="F590" s="15" t="s">
        <v>433</v>
      </c>
      <c r="G590" s="15"/>
      <c r="H590" s="15"/>
      <c r="I590" s="15"/>
      <c r="J590" s="15"/>
      <c r="K590" s="15"/>
      <c r="L590" s="15"/>
      <c r="M590" s="15"/>
      <c r="N590" s="15">
        <v>1000</v>
      </c>
      <c r="O590" s="8">
        <f>C590/0.92</f>
        <v>60.072463768115945</v>
      </c>
      <c r="P590" s="15"/>
      <c r="Q590" s="15"/>
      <c r="R590" s="8">
        <f>1.454*C590</f>
        <v>80.35773333333334</v>
      </c>
      <c r="S590" s="9">
        <f>E590*1.454*0.4</f>
        <v>32.14309333333334</v>
      </c>
      <c r="T590" s="9">
        <f>E590*1.454*0.2</f>
        <v>16.07154666666667</v>
      </c>
      <c r="U590" s="9">
        <f>E590*1.454*0.2</f>
        <v>16.07154666666667</v>
      </c>
      <c r="V590" s="9">
        <f>E590*1.454*0.2</f>
        <v>16.07154666666667</v>
      </c>
      <c r="W590" s="9">
        <f>H590*1.454</f>
        <v>0</v>
      </c>
      <c r="X590" s="9">
        <f>K590*1.454</f>
        <v>0</v>
      </c>
      <c r="Y590" s="4">
        <f t="shared" si="74"/>
        <v>32.14309333333334</v>
      </c>
    </row>
    <row r="591" spans="1:25" ht="12.75" customHeight="1" outlineLevel="2">
      <c r="A591" s="160">
        <v>1</v>
      </c>
      <c r="B591" s="162" t="s">
        <v>560</v>
      </c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4">
        <f t="shared" si="74"/>
        <v>0</v>
      </c>
    </row>
    <row r="592" spans="1:25" ht="18" outlineLevel="2">
      <c r="A592" s="160"/>
      <c r="B592" s="15">
        <v>16</v>
      </c>
      <c r="C592" s="15">
        <f>E592+H592+K592</f>
        <v>67.19999999999999</v>
      </c>
      <c r="D592" s="15">
        <v>16</v>
      </c>
      <c r="E592" s="8">
        <f>D592*FORECAST(D592,AA$9:AA$10,Z$9:Z$10)</f>
        <v>67.19999999999999</v>
      </c>
      <c r="F592" s="15" t="s">
        <v>433</v>
      </c>
      <c r="G592" s="15"/>
      <c r="H592" s="15"/>
      <c r="I592" s="15"/>
      <c r="J592" s="15"/>
      <c r="K592" s="15"/>
      <c r="L592" s="15"/>
      <c r="M592" s="15"/>
      <c r="N592" s="15">
        <v>480</v>
      </c>
      <c r="O592" s="8">
        <f>C592/0.92</f>
        <v>73.04347826086955</v>
      </c>
      <c r="P592" s="15"/>
      <c r="Q592" s="15"/>
      <c r="R592" s="8">
        <f>1.454*C592</f>
        <v>97.70879999999998</v>
      </c>
      <c r="S592" s="9">
        <f>E592*1.454*0.4</f>
        <v>39.08351999999999</v>
      </c>
      <c r="T592" s="9">
        <f>E592*1.454*0.2</f>
        <v>19.541759999999996</v>
      </c>
      <c r="U592" s="9">
        <f>E592*1.454*0.2</f>
        <v>19.541759999999996</v>
      </c>
      <c r="V592" s="9">
        <f>E592*1.454*0.2</f>
        <v>19.541759999999996</v>
      </c>
      <c r="W592" s="9">
        <f>H592*1.454</f>
        <v>0</v>
      </c>
      <c r="X592" s="9">
        <f>K592*1.454</f>
        <v>0</v>
      </c>
      <c r="Y592" s="4">
        <f aca="true" t="shared" si="80" ref="Y592:Y601">U592*2</f>
        <v>39.08351999999999</v>
      </c>
    </row>
    <row r="593" spans="1:25" ht="12.75" customHeight="1" outlineLevel="2">
      <c r="A593" s="160">
        <v>2</v>
      </c>
      <c r="B593" s="162" t="s">
        <v>571</v>
      </c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4">
        <f t="shared" si="80"/>
        <v>0</v>
      </c>
    </row>
    <row r="594" spans="1:25" ht="18" outlineLevel="2">
      <c r="A594" s="160"/>
      <c r="B594" s="15">
        <v>28</v>
      </c>
      <c r="C594" s="16">
        <f>E594+H594+K594</f>
        <v>88.97</v>
      </c>
      <c r="D594" s="15">
        <v>28</v>
      </c>
      <c r="E594" s="8">
        <f>D594*FORECAST(D594,AA$11:AA$12,Z$11:Z$12)</f>
        <v>88.97</v>
      </c>
      <c r="F594" s="15" t="s">
        <v>433</v>
      </c>
      <c r="G594" s="15"/>
      <c r="H594" s="15"/>
      <c r="I594" s="15"/>
      <c r="J594" s="15"/>
      <c r="K594" s="15"/>
      <c r="L594" s="15"/>
      <c r="M594" s="15"/>
      <c r="N594" s="15">
        <v>450</v>
      </c>
      <c r="O594" s="8">
        <f>C594/0.92</f>
        <v>96.70652173913042</v>
      </c>
      <c r="P594" s="15"/>
      <c r="Q594" s="15"/>
      <c r="R594" s="8">
        <f>1.454*C594</f>
        <v>129.36238</v>
      </c>
      <c r="S594" s="9">
        <f>E594*1.454*0.4</f>
        <v>51.744952000000005</v>
      </c>
      <c r="T594" s="9">
        <f>E594*1.454*0.2</f>
        <v>25.872476000000002</v>
      </c>
      <c r="U594" s="9">
        <f>E594*1.454*0.2</f>
        <v>25.872476000000002</v>
      </c>
      <c r="V594" s="9">
        <f>E594*1.454*0.2</f>
        <v>25.872476000000002</v>
      </c>
      <c r="W594" s="9">
        <f>H594*1.454</f>
        <v>0</v>
      </c>
      <c r="X594" s="9">
        <f>K594*1.454</f>
        <v>0</v>
      </c>
      <c r="Y594" s="4">
        <f t="shared" si="80"/>
        <v>51.744952000000005</v>
      </c>
    </row>
    <row r="595" spans="1:25" ht="12.75" customHeight="1" outlineLevel="2">
      <c r="A595" s="160">
        <v>3</v>
      </c>
      <c r="B595" s="162" t="s">
        <v>572</v>
      </c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4">
        <f t="shared" si="80"/>
        <v>0</v>
      </c>
    </row>
    <row r="596" spans="1:25" ht="18" outlineLevel="2">
      <c r="A596" s="160"/>
      <c r="B596" s="15">
        <v>9</v>
      </c>
      <c r="C596" s="16">
        <f>E596+H596+K596</f>
        <v>52.290000000000006</v>
      </c>
      <c r="D596" s="15">
        <v>9</v>
      </c>
      <c r="E596" s="8">
        <f>D596*FORECAST(D596,AA$7:AA$8,Z$7:Z$8)</f>
        <v>52.290000000000006</v>
      </c>
      <c r="F596" s="15" t="s">
        <v>433</v>
      </c>
      <c r="G596" s="15"/>
      <c r="H596" s="15"/>
      <c r="I596" s="15"/>
      <c r="J596" s="15"/>
      <c r="K596" s="15"/>
      <c r="L596" s="15"/>
      <c r="M596" s="15"/>
      <c r="N596" s="15">
        <v>380</v>
      </c>
      <c r="O596" s="8">
        <f>C596/0.92</f>
        <v>56.83695652173913</v>
      </c>
      <c r="P596" s="15"/>
      <c r="Q596" s="15"/>
      <c r="R596" s="8">
        <f>1.454*C596</f>
        <v>76.02966</v>
      </c>
      <c r="S596" s="9">
        <f>E596*1.454*0.4</f>
        <v>30.411864000000005</v>
      </c>
      <c r="T596" s="9">
        <f>E596*1.454*0.2</f>
        <v>15.205932000000002</v>
      </c>
      <c r="U596" s="9">
        <f>E596*1.454*0.2</f>
        <v>15.205932000000002</v>
      </c>
      <c r="V596" s="9">
        <f>E596*1.454*0.2</f>
        <v>15.205932000000002</v>
      </c>
      <c r="W596" s="9">
        <f>H596*1.454</f>
        <v>0</v>
      </c>
      <c r="X596" s="9">
        <f>K596*1.454</f>
        <v>0</v>
      </c>
      <c r="Y596" s="4">
        <f t="shared" si="80"/>
        <v>30.411864000000005</v>
      </c>
    </row>
    <row r="597" spans="1:25" ht="12.75" customHeight="1" outlineLevel="2">
      <c r="A597" s="160">
        <v>4</v>
      </c>
      <c r="B597" s="162" t="s">
        <v>579</v>
      </c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4">
        <f t="shared" si="80"/>
        <v>0</v>
      </c>
    </row>
    <row r="598" spans="1:25" ht="18" outlineLevel="2">
      <c r="A598" s="160"/>
      <c r="B598" s="15">
        <v>8</v>
      </c>
      <c r="C598" s="16">
        <f>E598+H598+K598</f>
        <v>49.81333333333332</v>
      </c>
      <c r="D598" s="15">
        <v>8</v>
      </c>
      <c r="E598" s="8">
        <f>D598*FORECAST(D598,AA$6:AA$7,Z$6:Z$7)</f>
        <v>49.81333333333332</v>
      </c>
      <c r="F598" s="15" t="s">
        <v>433</v>
      </c>
      <c r="G598" s="15"/>
      <c r="H598" s="15"/>
      <c r="I598" s="15"/>
      <c r="J598" s="15"/>
      <c r="K598" s="15"/>
      <c r="L598" s="15"/>
      <c r="M598" s="15">
        <v>1000</v>
      </c>
      <c r="N598" s="15">
        <v>750</v>
      </c>
      <c r="O598" s="8">
        <f>C598/0.92</f>
        <v>54.14492753623187</v>
      </c>
      <c r="P598" s="15">
        <v>1</v>
      </c>
      <c r="Q598" s="15">
        <v>630</v>
      </c>
      <c r="R598" s="8">
        <f>1.454*C598</f>
        <v>72.42858666666665</v>
      </c>
      <c r="S598" s="9">
        <f>E598*1.454*0.4</f>
        <v>28.97143466666666</v>
      </c>
      <c r="T598" s="9">
        <f>E598*1.454*0.2</f>
        <v>14.48571733333333</v>
      </c>
      <c r="U598" s="9">
        <f>E598*1.454*0.2</f>
        <v>14.48571733333333</v>
      </c>
      <c r="V598" s="9">
        <f>E598*1.454*0.2</f>
        <v>14.48571733333333</v>
      </c>
      <c r="W598" s="9">
        <f>H598*1.454</f>
        <v>0</v>
      </c>
      <c r="X598" s="9">
        <f>K598*1.454</f>
        <v>0</v>
      </c>
      <c r="Y598" s="4">
        <f t="shared" si="80"/>
        <v>28.97143466666666</v>
      </c>
    </row>
    <row r="599" spans="1:25" ht="12.75" customHeight="1" outlineLevel="2">
      <c r="A599" s="160">
        <v>5</v>
      </c>
      <c r="B599" s="162" t="s">
        <v>580</v>
      </c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4">
        <f t="shared" si="80"/>
        <v>0</v>
      </c>
    </row>
    <row r="600" spans="1:25" ht="18" outlineLevel="2">
      <c r="A600" s="160"/>
      <c r="B600" s="15">
        <v>19</v>
      </c>
      <c r="C600" s="15">
        <f>E600+H600+K600</f>
        <v>72.67499999999998</v>
      </c>
      <c r="D600" s="15">
        <v>19</v>
      </c>
      <c r="E600" s="8">
        <f>D600*FORECAST(D600,AA$10:AA$11,Z$10:Z$11)</f>
        <v>72.67499999999998</v>
      </c>
      <c r="F600" s="15" t="s">
        <v>433</v>
      </c>
      <c r="G600" s="15"/>
      <c r="H600" s="15"/>
      <c r="I600" s="15"/>
      <c r="J600" s="15"/>
      <c r="K600" s="15"/>
      <c r="L600" s="15"/>
      <c r="M600" s="15">
        <v>250</v>
      </c>
      <c r="N600" s="15"/>
      <c r="O600" s="8">
        <f>C600/0.92</f>
        <v>78.99456521739128</v>
      </c>
      <c r="P600" s="15">
        <v>1</v>
      </c>
      <c r="Q600" s="15">
        <v>630</v>
      </c>
      <c r="R600" s="8">
        <f>1.454*C600</f>
        <v>105.66944999999997</v>
      </c>
      <c r="S600" s="9">
        <f>E600*1.454*0.4</f>
        <v>42.26777999999999</v>
      </c>
      <c r="T600" s="9">
        <f>E600*1.454*0.2</f>
        <v>21.133889999999994</v>
      </c>
      <c r="U600" s="9">
        <f>E600*1.454*0.2</f>
        <v>21.133889999999994</v>
      </c>
      <c r="V600" s="9">
        <f>E600*1.454*0.2</f>
        <v>21.133889999999994</v>
      </c>
      <c r="W600" s="9">
        <f>H600*1.454</f>
        <v>0</v>
      </c>
      <c r="X600" s="9">
        <f>K600*1.454</f>
        <v>0</v>
      </c>
      <c r="Y600" s="4">
        <f t="shared" si="80"/>
        <v>42.26777999999999</v>
      </c>
    </row>
    <row r="601" spans="1:25" ht="36" outlineLevel="2">
      <c r="A601" s="6" t="s">
        <v>431</v>
      </c>
      <c r="B601" s="6">
        <f>B592+B594+B596+B598+B600</f>
        <v>80</v>
      </c>
      <c r="C601" s="19">
        <f>C592+C594+C596+C598+C600</f>
        <v>330.94833333333327</v>
      </c>
      <c r="D601" s="6">
        <f>D592+D594+D596+D598+D600</f>
        <v>80</v>
      </c>
      <c r="E601" s="19">
        <f>E592+E594+E596+E598+E600</f>
        <v>330.94833333333327</v>
      </c>
      <c r="F601" s="6" t="s">
        <v>433</v>
      </c>
      <c r="G601" s="6">
        <f>G592+G594+G596+G598+G600</f>
        <v>0</v>
      </c>
      <c r="H601" s="6">
        <f>H592+H594+H596+H598+H600</f>
        <v>0</v>
      </c>
      <c r="I601" s="6" t="s">
        <v>441</v>
      </c>
      <c r="J601" s="6">
        <f>J592+J594+J596+J598+J600</f>
        <v>0</v>
      </c>
      <c r="K601" s="6">
        <f>K592+K594+K596+K598+K600</f>
        <v>0</v>
      </c>
      <c r="L601" s="6" t="s">
        <v>441</v>
      </c>
      <c r="M601" s="6">
        <f>M592+M594+M596+M598+M600</f>
        <v>1250</v>
      </c>
      <c r="N601" s="6">
        <f>N592+N594+N596+N598+N600</f>
        <v>2060</v>
      </c>
      <c r="O601" s="19">
        <f>O592+O594+O596+O598+O600</f>
        <v>359.72644927536226</v>
      </c>
      <c r="P601" s="24">
        <f aca="true" t="shared" si="81" ref="P601:X601">P592+P594+P596+P598+P600</f>
        <v>2</v>
      </c>
      <c r="Q601" s="19">
        <f t="shared" si="81"/>
        <v>1260</v>
      </c>
      <c r="R601" s="19">
        <f t="shared" si="81"/>
        <v>481.1988766666666</v>
      </c>
      <c r="S601" s="19">
        <f t="shared" si="81"/>
        <v>192.47955066666665</v>
      </c>
      <c r="T601" s="19">
        <f t="shared" si="81"/>
        <v>96.23977533333333</v>
      </c>
      <c r="U601" s="19">
        <f t="shared" si="81"/>
        <v>96.23977533333333</v>
      </c>
      <c r="V601" s="19">
        <f t="shared" si="81"/>
        <v>96.23977533333333</v>
      </c>
      <c r="W601" s="19">
        <f t="shared" si="81"/>
        <v>0</v>
      </c>
      <c r="X601" s="19">
        <f t="shared" si="81"/>
        <v>0</v>
      </c>
      <c r="Y601" s="4">
        <f t="shared" si="80"/>
        <v>192.47955066666665</v>
      </c>
    </row>
    <row r="602" spans="1:25" ht="36" hidden="1" outlineLevel="1">
      <c r="A602" s="6" t="s">
        <v>434</v>
      </c>
      <c r="B602" s="6">
        <f>B536+B583+B586+B588+B590+B601</f>
        <v>584</v>
      </c>
      <c r="C602" s="19">
        <f>C536+C583+C586+C588+C590+C601</f>
        <v>2422.9508749999995</v>
      </c>
      <c r="D602" s="6">
        <f>D536+D583+D586+D588+D590+D601</f>
        <v>576</v>
      </c>
      <c r="E602" s="19">
        <f>E536+E583+E586+E588+E590+E601</f>
        <v>2242.9508749999995</v>
      </c>
      <c r="F602" s="6" t="s">
        <v>433</v>
      </c>
      <c r="G602" s="6">
        <f>G536+G583+G586+G588+G590+G601</f>
        <v>0</v>
      </c>
      <c r="H602" s="6">
        <f>H536+H583+H586+H588+H590+H601</f>
        <v>0</v>
      </c>
      <c r="I602" s="6" t="s">
        <v>441</v>
      </c>
      <c r="J602" s="6">
        <f>J536+J583+J586+J588+J590+J601</f>
        <v>8</v>
      </c>
      <c r="K602" s="6">
        <f>K536+K583+K586+K588+K590+K601</f>
        <v>180</v>
      </c>
      <c r="L602" s="6" t="s">
        <v>441</v>
      </c>
      <c r="M602" s="6">
        <f aca="true" t="shared" si="82" ref="M602:W602">M536+M583+M586+M588+M590+M601</f>
        <v>4300</v>
      </c>
      <c r="N602" s="6">
        <f t="shared" si="82"/>
        <v>20960</v>
      </c>
      <c r="O602" s="19">
        <f t="shared" si="82"/>
        <v>2633.642255434782</v>
      </c>
      <c r="P602" s="6">
        <f t="shared" si="82"/>
        <v>7</v>
      </c>
      <c r="Q602" s="6">
        <f t="shared" si="82"/>
        <v>3310</v>
      </c>
      <c r="R602" s="19">
        <f t="shared" si="82"/>
        <v>3522.9705722499993</v>
      </c>
      <c r="S602" s="19">
        <f t="shared" si="82"/>
        <v>1304.5002289</v>
      </c>
      <c r="T602" s="19">
        <f t="shared" si="82"/>
        <v>652.25011445</v>
      </c>
      <c r="U602" s="19">
        <f>U536+U583+U586+U588+U590+U601</f>
        <v>652.25011445</v>
      </c>
      <c r="V602" s="19">
        <f t="shared" si="82"/>
        <v>652.25011445</v>
      </c>
      <c r="W602" s="19">
        <f t="shared" si="82"/>
        <v>0</v>
      </c>
      <c r="X602" s="19">
        <f>X536+X583+X586+X588+X590+X601</f>
        <v>261.72</v>
      </c>
      <c r="Y602" s="86">
        <f>S602+T602+U602+V602+X602</f>
        <v>3522.9705722500003</v>
      </c>
    </row>
    <row r="603" spans="1:25" ht="12.75" customHeight="1" outlineLevel="2">
      <c r="A603" s="160">
        <v>1</v>
      </c>
      <c r="B603" s="162" t="s">
        <v>581</v>
      </c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4">
        <f>U603*2</f>
        <v>0</v>
      </c>
    </row>
    <row r="604" spans="1:25" ht="18" outlineLevel="2">
      <c r="A604" s="160"/>
      <c r="B604" s="15">
        <f>D604+G604+J604</f>
        <v>15</v>
      </c>
      <c r="C604" s="15">
        <f>E604+H604+K604</f>
        <v>65.1</v>
      </c>
      <c r="D604" s="15">
        <v>15</v>
      </c>
      <c r="E604" s="8">
        <f>D604*FORECAST(D604,AA$9:AA$10,Z$9:Z$10)</f>
        <v>65.1</v>
      </c>
      <c r="F604" s="15" t="s">
        <v>433</v>
      </c>
      <c r="G604" s="15"/>
      <c r="H604" s="15"/>
      <c r="I604" s="15"/>
      <c r="J604" s="15"/>
      <c r="K604" s="15"/>
      <c r="L604" s="15"/>
      <c r="M604" s="15"/>
      <c r="N604" s="15">
        <v>300</v>
      </c>
      <c r="O604" s="8">
        <f>C604/0.92</f>
        <v>70.76086956521738</v>
      </c>
      <c r="P604" s="15"/>
      <c r="Q604" s="15"/>
      <c r="R604" s="8">
        <f>1.454*C604</f>
        <v>94.65539999999999</v>
      </c>
      <c r="S604" s="9">
        <f>E604*1.454*0.4</f>
        <v>37.862159999999996</v>
      </c>
      <c r="T604" s="9">
        <f>E604*1.454*0.2</f>
        <v>18.931079999999998</v>
      </c>
      <c r="U604" s="9">
        <f>E604*1.454*0.2</f>
        <v>18.931079999999998</v>
      </c>
      <c r="V604" s="9">
        <f>E604*1.454*0.2</f>
        <v>18.931079999999998</v>
      </c>
      <c r="W604" s="9">
        <f>H604*1.454</f>
        <v>0</v>
      </c>
      <c r="X604" s="9">
        <f>K604*1.454</f>
        <v>0</v>
      </c>
      <c r="Y604" s="86">
        <f>S604+T604+U604+V604+W604</f>
        <v>94.65539999999999</v>
      </c>
    </row>
    <row r="605" spans="1:25" ht="12.75" customHeight="1" outlineLevel="2">
      <c r="A605" s="160">
        <v>2</v>
      </c>
      <c r="B605" s="162" t="s">
        <v>582</v>
      </c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86">
        <f aca="true" t="shared" si="83" ref="Y605:Y649">S605+T605+U605+V605+W605</f>
        <v>0</v>
      </c>
    </row>
    <row r="606" spans="1:25" ht="18" outlineLevel="2">
      <c r="A606" s="160"/>
      <c r="B606" s="15">
        <f>D606+G606+J606</f>
        <v>7</v>
      </c>
      <c r="C606" s="16">
        <f>E606+H606+K606</f>
        <v>46.50333333333332</v>
      </c>
      <c r="D606" s="15">
        <v>7</v>
      </c>
      <c r="E606" s="8">
        <f>D606*FORECAST(D606,AA$6:AA$7,Z$6:Z$7)</f>
        <v>46.50333333333332</v>
      </c>
      <c r="F606" s="15" t="s">
        <v>433</v>
      </c>
      <c r="G606" s="15"/>
      <c r="H606" s="15"/>
      <c r="I606" s="15"/>
      <c r="J606" s="15"/>
      <c r="K606" s="15"/>
      <c r="L606" s="15"/>
      <c r="M606" s="15"/>
      <c r="N606" s="15">
        <v>250</v>
      </c>
      <c r="O606" s="8">
        <f>C606/0.92</f>
        <v>50.54710144927535</v>
      </c>
      <c r="P606" s="15"/>
      <c r="Q606" s="15"/>
      <c r="R606" s="8">
        <f>1.454*C606</f>
        <v>67.61584666666666</v>
      </c>
      <c r="S606" s="9">
        <f>E606*1.454*0.4</f>
        <v>27.046338666666664</v>
      </c>
      <c r="T606" s="9">
        <f>E606*1.454*0.2</f>
        <v>13.523169333333332</v>
      </c>
      <c r="U606" s="9">
        <f>E606*1.454*0.2</f>
        <v>13.523169333333332</v>
      </c>
      <c r="V606" s="9">
        <f>E606*1.454*0.2</f>
        <v>13.523169333333332</v>
      </c>
      <c r="W606" s="9">
        <f>H606*1.454</f>
        <v>0</v>
      </c>
      <c r="X606" s="9">
        <f>K606*1.454</f>
        <v>0</v>
      </c>
      <c r="Y606" s="86">
        <f t="shared" si="83"/>
        <v>67.61584666666666</v>
      </c>
    </row>
    <row r="607" spans="1:25" ht="12.75" customHeight="1" outlineLevel="2">
      <c r="A607" s="160">
        <v>3</v>
      </c>
      <c r="B607" s="162" t="s">
        <v>583</v>
      </c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86">
        <f t="shared" si="83"/>
        <v>0</v>
      </c>
    </row>
    <row r="608" spans="1:25" ht="18" outlineLevel="2">
      <c r="A608" s="160"/>
      <c r="B608" s="15">
        <f>D608+G608+J608</f>
        <v>12</v>
      </c>
      <c r="C608" s="16">
        <f>E608+H608+K608</f>
        <v>59.52000000000001</v>
      </c>
      <c r="D608" s="15">
        <v>12</v>
      </c>
      <c r="E608" s="8">
        <f>D608*FORECAST(D608,AA$8:AA$9,Z$8:Z$9)</f>
        <v>59.52000000000001</v>
      </c>
      <c r="F608" s="15" t="s">
        <v>433</v>
      </c>
      <c r="G608" s="15"/>
      <c r="H608" s="15"/>
      <c r="I608" s="15"/>
      <c r="J608" s="15"/>
      <c r="K608" s="15"/>
      <c r="L608" s="15"/>
      <c r="M608" s="15"/>
      <c r="N608" s="15">
        <v>200</v>
      </c>
      <c r="O608" s="8">
        <f>C608/0.92</f>
        <v>64.69565217391305</v>
      </c>
      <c r="P608" s="15"/>
      <c r="Q608" s="15"/>
      <c r="R608" s="8">
        <f>1.454*C608</f>
        <v>86.54208000000001</v>
      </c>
      <c r="S608" s="9">
        <f>E608*1.454*0.4</f>
        <v>34.61683200000001</v>
      </c>
      <c r="T608" s="9">
        <f>E608*1.454*0.2</f>
        <v>17.308416000000005</v>
      </c>
      <c r="U608" s="9">
        <f>E608*1.454*0.2</f>
        <v>17.308416000000005</v>
      </c>
      <c r="V608" s="9">
        <f>E608*1.454*0.2</f>
        <v>17.308416000000005</v>
      </c>
      <c r="W608" s="9">
        <f>H608*1.454</f>
        <v>0</v>
      </c>
      <c r="X608" s="9">
        <f>K608*1.454</f>
        <v>0</v>
      </c>
      <c r="Y608" s="86">
        <f t="shared" si="83"/>
        <v>86.54208000000003</v>
      </c>
    </row>
    <row r="609" spans="1:25" ht="36" hidden="1" outlineLevel="1">
      <c r="A609" s="6" t="s">
        <v>435</v>
      </c>
      <c r="B609" s="6">
        <f>B604+B606+B608</f>
        <v>34</v>
      </c>
      <c r="C609" s="19">
        <f>C604+C606+C608</f>
        <v>171.12333333333333</v>
      </c>
      <c r="D609" s="6">
        <f>D604+D606+D608</f>
        <v>34</v>
      </c>
      <c r="E609" s="19">
        <f>E604+E606+E608</f>
        <v>171.12333333333333</v>
      </c>
      <c r="F609" s="6" t="s">
        <v>433</v>
      </c>
      <c r="G609" s="6">
        <f>G604+G606+G608</f>
        <v>0</v>
      </c>
      <c r="H609" s="6">
        <f>H604+H606+H608</f>
        <v>0</v>
      </c>
      <c r="I609" s="6" t="s">
        <v>441</v>
      </c>
      <c r="J609" s="6">
        <f>J604+J606+J608</f>
        <v>0</v>
      </c>
      <c r="K609" s="6">
        <f>K604+K606+K608</f>
        <v>0</v>
      </c>
      <c r="L609" s="6" t="s">
        <v>441</v>
      </c>
      <c r="M609" s="6">
        <f>M604+M606+M608</f>
        <v>0</v>
      </c>
      <c r="N609" s="6">
        <f>N604+N606+N608</f>
        <v>750</v>
      </c>
      <c r="O609" s="19">
        <f>O604+O606+O608</f>
        <v>186.00362318840575</v>
      </c>
      <c r="P609" s="19">
        <f aca="true" t="shared" si="84" ref="P609:X609">P604+P606+P608</f>
        <v>0</v>
      </c>
      <c r="Q609" s="19">
        <f t="shared" si="84"/>
        <v>0</v>
      </c>
      <c r="R609" s="19">
        <f t="shared" si="84"/>
        <v>248.81332666666663</v>
      </c>
      <c r="S609" s="19">
        <f t="shared" si="84"/>
        <v>99.52533066666666</v>
      </c>
      <c r="T609" s="19">
        <f t="shared" si="84"/>
        <v>49.76266533333333</v>
      </c>
      <c r="U609" s="19">
        <f t="shared" si="84"/>
        <v>49.76266533333333</v>
      </c>
      <c r="V609" s="19">
        <f t="shared" si="84"/>
        <v>49.76266533333333</v>
      </c>
      <c r="W609" s="19">
        <f t="shared" si="84"/>
        <v>0</v>
      </c>
      <c r="X609" s="19">
        <f t="shared" si="84"/>
        <v>0</v>
      </c>
      <c r="Y609" s="86">
        <f t="shared" si="83"/>
        <v>248.81332666666665</v>
      </c>
    </row>
    <row r="610" spans="1:25" ht="12.75" customHeight="1" outlineLevel="2">
      <c r="A610" s="160">
        <v>1</v>
      </c>
      <c r="B610" s="162" t="s">
        <v>584</v>
      </c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86">
        <f t="shared" si="83"/>
        <v>0</v>
      </c>
    </row>
    <row r="611" spans="1:25" ht="18" outlineLevel="2">
      <c r="A611" s="160"/>
      <c r="B611" s="15">
        <f>D611+G611+J611</f>
        <v>12</v>
      </c>
      <c r="C611" s="16">
        <f>E611+H611+K611</f>
        <v>59.52000000000001</v>
      </c>
      <c r="D611" s="15">
        <v>12</v>
      </c>
      <c r="E611" s="8">
        <f>D611*FORECAST(D611,AA$8:AA$9,Z$8:Z$9)</f>
        <v>59.52000000000001</v>
      </c>
      <c r="F611" s="15" t="s">
        <v>433</v>
      </c>
      <c r="G611" s="15"/>
      <c r="H611" s="15"/>
      <c r="I611" s="15"/>
      <c r="J611" s="15"/>
      <c r="K611" s="15"/>
      <c r="L611" s="15"/>
      <c r="M611" s="15"/>
      <c r="N611" s="15">
        <v>200</v>
      </c>
      <c r="O611" s="8">
        <f>C611/0.92</f>
        <v>64.69565217391305</v>
      </c>
      <c r="P611" s="15"/>
      <c r="Q611" s="15"/>
      <c r="R611" s="8">
        <f>1.454*C611</f>
        <v>86.54208000000001</v>
      </c>
      <c r="S611" s="9">
        <f>E611*1.454*0.4</f>
        <v>34.61683200000001</v>
      </c>
      <c r="T611" s="9">
        <f>E611*1.454*0.2</f>
        <v>17.308416000000005</v>
      </c>
      <c r="U611" s="9">
        <f>E611*1.454*0.2</f>
        <v>17.308416000000005</v>
      </c>
      <c r="V611" s="9">
        <f>E611*1.454*0.2</f>
        <v>17.308416000000005</v>
      </c>
      <c r="W611" s="9">
        <f>H611*1.454</f>
        <v>0</v>
      </c>
      <c r="X611" s="9">
        <f>K611*1.454</f>
        <v>0</v>
      </c>
      <c r="Y611" s="86">
        <f t="shared" si="83"/>
        <v>86.54208000000003</v>
      </c>
    </row>
    <row r="612" spans="1:25" ht="12.75" customHeight="1" outlineLevel="2">
      <c r="A612" s="160">
        <v>2</v>
      </c>
      <c r="B612" s="162" t="s">
        <v>585</v>
      </c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86">
        <f t="shared" si="83"/>
        <v>0</v>
      </c>
    </row>
    <row r="613" spans="1:25" ht="18" outlineLevel="2">
      <c r="A613" s="160"/>
      <c r="B613" s="15">
        <f>D613+G613+J613</f>
        <v>13</v>
      </c>
      <c r="C613" s="16">
        <f>E613+H613+K613</f>
        <v>61.79333333333334</v>
      </c>
      <c r="D613" s="15">
        <v>13</v>
      </c>
      <c r="E613" s="8">
        <f>D613*FORECAST(D613,AA$8:AA$9,Z$8:Z$9)</f>
        <v>61.79333333333334</v>
      </c>
      <c r="F613" s="15" t="s">
        <v>433</v>
      </c>
      <c r="G613" s="15"/>
      <c r="H613" s="15"/>
      <c r="I613" s="15"/>
      <c r="J613" s="15"/>
      <c r="K613" s="15"/>
      <c r="L613" s="15"/>
      <c r="M613" s="15"/>
      <c r="N613" s="15">
        <v>250</v>
      </c>
      <c r="O613" s="8">
        <f>C613/0.92</f>
        <v>67.16666666666667</v>
      </c>
      <c r="P613" s="15"/>
      <c r="Q613" s="15"/>
      <c r="R613" s="8">
        <f>1.454*C613</f>
        <v>89.84750666666667</v>
      </c>
      <c r="S613" s="9">
        <f>E613*1.454*0.4</f>
        <v>35.939002666666674</v>
      </c>
      <c r="T613" s="9">
        <f>E613*1.454*0.2</f>
        <v>17.969501333333337</v>
      </c>
      <c r="U613" s="9">
        <f>E613*1.454*0.2</f>
        <v>17.969501333333337</v>
      </c>
      <c r="V613" s="9">
        <f>E613*1.454*0.2</f>
        <v>17.969501333333337</v>
      </c>
      <c r="W613" s="9">
        <f>H613*1.454</f>
        <v>0</v>
      </c>
      <c r="X613" s="9">
        <f>K613*1.454</f>
        <v>0</v>
      </c>
      <c r="Y613" s="86">
        <f t="shared" si="83"/>
        <v>89.84750666666669</v>
      </c>
    </row>
    <row r="614" spans="1:25" ht="36" hidden="1" outlineLevel="1">
      <c r="A614" s="6" t="s">
        <v>436</v>
      </c>
      <c r="B614" s="6">
        <f>B611+B613</f>
        <v>25</v>
      </c>
      <c r="C614" s="19">
        <f>C611+C613</f>
        <v>121.31333333333335</v>
      </c>
      <c r="D614" s="6">
        <f>D611+D613</f>
        <v>25</v>
      </c>
      <c r="E614" s="19">
        <f>E611+E613</f>
        <v>121.31333333333335</v>
      </c>
      <c r="F614" s="6" t="s">
        <v>433</v>
      </c>
      <c r="G614" s="6">
        <f>G611+G613</f>
        <v>0</v>
      </c>
      <c r="H614" s="6">
        <f>H611+H613</f>
        <v>0</v>
      </c>
      <c r="I614" s="6" t="s">
        <v>441</v>
      </c>
      <c r="J614" s="6">
        <f>J611+J613</f>
        <v>0</v>
      </c>
      <c r="K614" s="6">
        <f>K611+K613</f>
        <v>0</v>
      </c>
      <c r="L614" s="6" t="s">
        <v>441</v>
      </c>
      <c r="M614" s="6">
        <f>M611+M613</f>
        <v>0</v>
      </c>
      <c r="N614" s="6">
        <f>N611+N613</f>
        <v>450</v>
      </c>
      <c r="O614" s="19">
        <f>O611+O613</f>
        <v>131.86231884057972</v>
      </c>
      <c r="P614" s="19">
        <f aca="true" t="shared" si="85" ref="P614:X614">P611+P613</f>
        <v>0</v>
      </c>
      <c r="Q614" s="19">
        <f t="shared" si="85"/>
        <v>0</v>
      </c>
      <c r="R614" s="19">
        <f t="shared" si="85"/>
        <v>176.38958666666667</v>
      </c>
      <c r="S614" s="19">
        <f t="shared" si="85"/>
        <v>70.55583466666668</v>
      </c>
      <c r="T614" s="19">
        <f t="shared" si="85"/>
        <v>35.27791733333334</v>
      </c>
      <c r="U614" s="19">
        <f t="shared" si="85"/>
        <v>35.27791733333334</v>
      </c>
      <c r="V614" s="19">
        <f t="shared" si="85"/>
        <v>35.27791733333334</v>
      </c>
      <c r="W614" s="19">
        <f t="shared" si="85"/>
        <v>0</v>
      </c>
      <c r="X614" s="19">
        <f t="shared" si="85"/>
        <v>0</v>
      </c>
      <c r="Y614" s="86">
        <f t="shared" si="83"/>
        <v>176.3895866666667</v>
      </c>
    </row>
    <row r="615" spans="1:25" ht="12.75" customHeight="1" outlineLevel="2">
      <c r="A615" s="160">
        <v>1</v>
      </c>
      <c r="B615" s="162" t="s">
        <v>586</v>
      </c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86">
        <f t="shared" si="83"/>
        <v>0</v>
      </c>
    </row>
    <row r="616" spans="1:25" ht="18" outlineLevel="2">
      <c r="A616" s="160"/>
      <c r="B616" s="15">
        <f>D616+G616+J616</f>
        <v>30</v>
      </c>
      <c r="C616" s="16">
        <f>E616+H616+K616</f>
        <v>92.73749999999998</v>
      </c>
      <c r="D616" s="15">
        <v>30</v>
      </c>
      <c r="E616" s="8">
        <f>D616*FORECAST(D616,AA$11:AA$12,Z$11:Z$12)</f>
        <v>92.73749999999998</v>
      </c>
      <c r="F616" s="15" t="s">
        <v>433</v>
      </c>
      <c r="G616" s="15"/>
      <c r="H616" s="15"/>
      <c r="I616" s="15"/>
      <c r="J616" s="15"/>
      <c r="K616" s="15"/>
      <c r="L616" s="15"/>
      <c r="M616" s="15">
        <v>1000</v>
      </c>
      <c r="N616" s="15">
        <v>750</v>
      </c>
      <c r="O616" s="8">
        <f>C616/0.92</f>
        <v>100.80163043478258</v>
      </c>
      <c r="P616" s="15"/>
      <c r="Q616" s="15"/>
      <c r="R616" s="8">
        <f>1.454*C616</f>
        <v>134.84032499999998</v>
      </c>
      <c r="S616" s="9">
        <f>E616*1.454*0.4</f>
        <v>53.93612999999999</v>
      </c>
      <c r="T616" s="9">
        <f>E616*1.454*0.2</f>
        <v>26.968064999999996</v>
      </c>
      <c r="U616" s="9">
        <f>E616*1.454*0.2</f>
        <v>26.968064999999996</v>
      </c>
      <c r="V616" s="9">
        <f>E616*1.454*0.2</f>
        <v>26.968064999999996</v>
      </c>
      <c r="W616" s="9">
        <f>H616*1.454</f>
        <v>0</v>
      </c>
      <c r="X616" s="9">
        <f>K616*1.454</f>
        <v>0</v>
      </c>
      <c r="Y616" s="86">
        <f t="shared" si="83"/>
        <v>134.84032499999998</v>
      </c>
    </row>
    <row r="617" spans="1:25" ht="12.75" customHeight="1" outlineLevel="2">
      <c r="A617" s="160">
        <v>2</v>
      </c>
      <c r="B617" s="162" t="s">
        <v>587</v>
      </c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86">
        <f t="shared" si="83"/>
        <v>0</v>
      </c>
    </row>
    <row r="618" spans="1:25" ht="18" outlineLevel="2">
      <c r="A618" s="160"/>
      <c r="B618" s="15">
        <f>D618+G618+J618</f>
        <v>14</v>
      </c>
      <c r="C618" s="16">
        <f>E618+H618+K618</f>
        <v>63.65333333333335</v>
      </c>
      <c r="D618" s="15">
        <v>14</v>
      </c>
      <c r="E618" s="8">
        <f>D618*FORECAST(D618,AA$8:AA$9,Z$8:Z$9)</f>
        <v>63.65333333333335</v>
      </c>
      <c r="F618" s="15" t="s">
        <v>433</v>
      </c>
      <c r="G618" s="15"/>
      <c r="H618" s="15"/>
      <c r="I618" s="15"/>
      <c r="J618" s="15"/>
      <c r="K618" s="15"/>
      <c r="L618" s="15"/>
      <c r="M618" s="15"/>
      <c r="N618" s="15">
        <v>500</v>
      </c>
      <c r="O618" s="8">
        <f>C618/0.92</f>
        <v>69.18840579710147</v>
      </c>
      <c r="P618" s="15"/>
      <c r="Q618" s="15"/>
      <c r="R618" s="8">
        <f>1.454*C618</f>
        <v>92.5519466666667</v>
      </c>
      <c r="S618" s="9">
        <f>E618*1.454*0.4</f>
        <v>37.02077866666668</v>
      </c>
      <c r="T618" s="9">
        <f>E618*1.454*0.2</f>
        <v>18.51038933333334</v>
      </c>
      <c r="U618" s="9">
        <f>E618*1.454*0.2</f>
        <v>18.51038933333334</v>
      </c>
      <c r="V618" s="9">
        <f>E618*1.454*0.2</f>
        <v>18.51038933333334</v>
      </c>
      <c r="W618" s="9">
        <f>H618*1.454</f>
        <v>0</v>
      </c>
      <c r="X618" s="9">
        <f>K618*1.454</f>
        <v>0</v>
      </c>
      <c r="Y618" s="86">
        <f t="shared" si="83"/>
        <v>92.5519466666667</v>
      </c>
    </row>
    <row r="619" spans="1:25" ht="140.25" customHeight="1" outlineLevel="2">
      <c r="A619" s="94" t="s">
        <v>708</v>
      </c>
      <c r="B619" s="15">
        <v>213</v>
      </c>
      <c r="C619" s="15">
        <v>960</v>
      </c>
      <c r="D619" s="15">
        <v>208</v>
      </c>
      <c r="E619" s="15">
        <v>830.3</v>
      </c>
      <c r="F619" s="15" t="s">
        <v>453</v>
      </c>
      <c r="G619" s="15">
        <v>0</v>
      </c>
      <c r="H619" s="15">
        <v>0</v>
      </c>
      <c r="I619" s="15" t="s">
        <v>698</v>
      </c>
      <c r="J619" s="15">
        <v>5</v>
      </c>
      <c r="K619" s="15">
        <v>130</v>
      </c>
      <c r="L619" s="15" t="s">
        <v>453</v>
      </c>
      <c r="M619" s="15">
        <v>5800</v>
      </c>
      <c r="N619" s="15"/>
      <c r="O619" s="15">
        <v>0.96</v>
      </c>
      <c r="P619" s="15">
        <v>0</v>
      </c>
      <c r="Q619" s="15">
        <v>0</v>
      </c>
      <c r="R619" s="15">
        <v>870</v>
      </c>
      <c r="S619" s="15">
        <f>0.4*R619</f>
        <v>348</v>
      </c>
      <c r="T619" s="15">
        <f>0.2*R619</f>
        <v>174</v>
      </c>
      <c r="U619" s="15">
        <v>174</v>
      </c>
      <c r="V619" s="15">
        <v>174</v>
      </c>
      <c r="W619" s="15">
        <v>0</v>
      </c>
      <c r="X619" s="15">
        <v>0</v>
      </c>
      <c r="Y619" s="86">
        <f t="shared" si="83"/>
        <v>870</v>
      </c>
    </row>
    <row r="620" spans="1:25" s="59" customFormat="1" ht="18.75" customHeight="1">
      <c r="A620" s="145">
        <v>1</v>
      </c>
      <c r="B620" s="162" t="s">
        <v>71</v>
      </c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86">
        <f t="shared" si="83"/>
        <v>0</v>
      </c>
    </row>
    <row r="621" spans="1:25" s="59" customFormat="1" ht="18.75">
      <c r="A621" s="145"/>
      <c r="B621" s="81">
        <v>41</v>
      </c>
      <c r="C621" s="81">
        <v>160</v>
      </c>
      <c r="D621" s="81">
        <v>40</v>
      </c>
      <c r="E621" s="81">
        <v>160</v>
      </c>
      <c r="F621" s="81" t="s">
        <v>433</v>
      </c>
      <c r="G621" s="81"/>
      <c r="H621" s="81"/>
      <c r="I621" s="81"/>
      <c r="J621" s="81">
        <v>1</v>
      </c>
      <c r="K621" s="81">
        <v>12</v>
      </c>
      <c r="L621" s="81" t="s">
        <v>433</v>
      </c>
      <c r="M621" s="81"/>
      <c r="N621" s="81">
        <v>1500</v>
      </c>
      <c r="O621" s="81">
        <v>172</v>
      </c>
      <c r="P621" s="81"/>
      <c r="Q621" s="81"/>
      <c r="R621" s="81">
        <v>160</v>
      </c>
      <c r="S621" s="81">
        <v>64</v>
      </c>
      <c r="T621" s="81">
        <v>32</v>
      </c>
      <c r="U621" s="81">
        <v>32</v>
      </c>
      <c r="V621" s="81">
        <v>32</v>
      </c>
      <c r="W621" s="81"/>
      <c r="X621" s="81"/>
      <c r="Y621" s="86">
        <f t="shared" si="83"/>
        <v>160</v>
      </c>
    </row>
    <row r="622" spans="1:25" s="59" customFormat="1" ht="18.75">
      <c r="A622" s="81"/>
      <c r="B622" s="162" t="s">
        <v>72</v>
      </c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86">
        <f t="shared" si="83"/>
        <v>0</v>
      </c>
    </row>
    <row r="623" spans="1:25" s="59" customFormat="1" ht="18.75">
      <c r="A623" s="81">
        <v>2</v>
      </c>
      <c r="B623" s="81">
        <v>40</v>
      </c>
      <c r="C623" s="81">
        <v>160</v>
      </c>
      <c r="D623" s="81">
        <v>40</v>
      </c>
      <c r="E623" s="81">
        <v>160</v>
      </c>
      <c r="F623" s="81" t="s">
        <v>433</v>
      </c>
      <c r="G623" s="81"/>
      <c r="H623" s="81"/>
      <c r="I623" s="81"/>
      <c r="J623" s="81"/>
      <c r="K623" s="81"/>
      <c r="L623" s="81"/>
      <c r="M623" s="81"/>
      <c r="N623" s="81">
        <v>1500</v>
      </c>
      <c r="O623" s="81">
        <v>160</v>
      </c>
      <c r="P623" s="81">
        <v>1</v>
      </c>
      <c r="Q623" s="81">
        <v>200</v>
      </c>
      <c r="R623" s="81">
        <v>350</v>
      </c>
      <c r="S623" s="81">
        <v>140</v>
      </c>
      <c r="T623" s="81">
        <v>70</v>
      </c>
      <c r="U623" s="81">
        <v>70</v>
      </c>
      <c r="V623" s="81">
        <v>70</v>
      </c>
      <c r="W623" s="81"/>
      <c r="X623" s="81"/>
      <c r="Y623" s="86">
        <f t="shared" si="83"/>
        <v>350</v>
      </c>
    </row>
    <row r="624" spans="1:25" s="59" customFormat="1" ht="18.75">
      <c r="A624" s="81"/>
      <c r="B624" s="162" t="s">
        <v>73</v>
      </c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86">
        <f t="shared" si="83"/>
        <v>0</v>
      </c>
    </row>
    <row r="625" spans="1:25" s="59" customFormat="1" ht="18.75">
      <c r="A625" s="81">
        <v>3</v>
      </c>
      <c r="B625" s="81">
        <v>40</v>
      </c>
      <c r="C625" s="81">
        <v>160</v>
      </c>
      <c r="D625" s="81">
        <v>40</v>
      </c>
      <c r="E625" s="81">
        <v>160</v>
      </c>
      <c r="F625" s="81" t="s">
        <v>433</v>
      </c>
      <c r="G625" s="81"/>
      <c r="H625" s="81"/>
      <c r="I625" s="81"/>
      <c r="J625" s="81"/>
      <c r="K625" s="81"/>
      <c r="L625" s="81"/>
      <c r="M625" s="81"/>
      <c r="N625" s="81">
        <v>1500</v>
      </c>
      <c r="O625" s="81">
        <v>160</v>
      </c>
      <c r="P625" s="81"/>
      <c r="Q625" s="81"/>
      <c r="R625" s="81">
        <v>160</v>
      </c>
      <c r="S625" s="81">
        <v>64</v>
      </c>
      <c r="T625" s="81">
        <v>32</v>
      </c>
      <c r="U625" s="81">
        <v>32</v>
      </c>
      <c r="V625" s="81">
        <v>32</v>
      </c>
      <c r="W625" s="81"/>
      <c r="X625" s="81"/>
      <c r="Y625" s="86">
        <f t="shared" si="83"/>
        <v>160</v>
      </c>
    </row>
    <row r="626" spans="1:25" s="59" customFormat="1" ht="36">
      <c r="A626" s="6" t="s">
        <v>431</v>
      </c>
      <c r="B626" s="81">
        <f>B621+B623+B625</f>
        <v>121</v>
      </c>
      <c r="C626" s="81">
        <f aca="true" t="shared" si="86" ref="C626:X626">C621+C623+C625</f>
        <v>480</v>
      </c>
      <c r="D626" s="81">
        <f t="shared" si="86"/>
        <v>120</v>
      </c>
      <c r="E626" s="81">
        <f t="shared" si="86"/>
        <v>480</v>
      </c>
      <c r="F626" s="81" t="s">
        <v>433</v>
      </c>
      <c r="G626" s="81">
        <f t="shared" si="86"/>
        <v>0</v>
      </c>
      <c r="H626" s="81">
        <f t="shared" si="86"/>
        <v>0</v>
      </c>
      <c r="I626" s="81">
        <f t="shared" si="86"/>
        <v>0</v>
      </c>
      <c r="J626" s="81">
        <f t="shared" si="86"/>
        <v>1</v>
      </c>
      <c r="K626" s="81">
        <f t="shared" si="86"/>
        <v>12</v>
      </c>
      <c r="L626" s="81" t="s">
        <v>433</v>
      </c>
      <c r="M626" s="81">
        <f t="shared" si="86"/>
        <v>0</v>
      </c>
      <c r="N626" s="81">
        <f t="shared" si="86"/>
        <v>4500</v>
      </c>
      <c r="O626" s="81">
        <f t="shared" si="86"/>
        <v>492</v>
      </c>
      <c r="P626" s="81">
        <f t="shared" si="86"/>
        <v>1</v>
      </c>
      <c r="Q626" s="81">
        <f t="shared" si="86"/>
        <v>200</v>
      </c>
      <c r="R626" s="81">
        <f t="shared" si="86"/>
        <v>670</v>
      </c>
      <c r="S626" s="81">
        <f t="shared" si="86"/>
        <v>268</v>
      </c>
      <c r="T626" s="81">
        <f t="shared" si="86"/>
        <v>134</v>
      </c>
      <c r="U626" s="81">
        <f t="shared" si="86"/>
        <v>134</v>
      </c>
      <c r="V626" s="81">
        <f t="shared" si="86"/>
        <v>134</v>
      </c>
      <c r="W626" s="81">
        <f t="shared" si="86"/>
        <v>0</v>
      </c>
      <c r="X626" s="81">
        <f t="shared" si="86"/>
        <v>0</v>
      </c>
      <c r="Y626" s="86">
        <f t="shared" si="83"/>
        <v>670</v>
      </c>
    </row>
    <row r="627" spans="1:25" s="59" customFormat="1" ht="18.75" customHeight="1">
      <c r="A627" s="163">
        <v>1</v>
      </c>
      <c r="B627" s="162" t="s">
        <v>74</v>
      </c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86">
        <f t="shared" si="83"/>
        <v>0</v>
      </c>
    </row>
    <row r="628" spans="1:25" s="59" customFormat="1" ht="18.75">
      <c r="A628" s="163"/>
      <c r="B628" s="81">
        <v>38</v>
      </c>
      <c r="C628" s="81">
        <v>380</v>
      </c>
      <c r="D628" s="81">
        <v>38</v>
      </c>
      <c r="E628" s="81">
        <v>380</v>
      </c>
      <c r="F628" s="81" t="s">
        <v>433</v>
      </c>
      <c r="G628" s="81"/>
      <c r="H628" s="81"/>
      <c r="I628" s="81"/>
      <c r="J628" s="81"/>
      <c r="K628" s="81"/>
      <c r="L628" s="81"/>
      <c r="M628" s="81">
        <v>50</v>
      </c>
      <c r="N628" s="81">
        <v>370</v>
      </c>
      <c r="O628" s="81">
        <v>380</v>
      </c>
      <c r="P628" s="81">
        <v>1</v>
      </c>
      <c r="Q628" s="81">
        <v>100</v>
      </c>
      <c r="R628" s="81">
        <v>160</v>
      </c>
      <c r="S628" s="81">
        <v>64</v>
      </c>
      <c r="T628" s="81">
        <v>32</v>
      </c>
      <c r="U628" s="81">
        <v>32</v>
      </c>
      <c r="V628" s="81">
        <v>32</v>
      </c>
      <c r="W628" s="81"/>
      <c r="X628" s="81"/>
      <c r="Y628" s="86">
        <f t="shared" si="83"/>
        <v>160</v>
      </c>
    </row>
    <row r="629" spans="1:25" s="59" customFormat="1" ht="18.75">
      <c r="A629" s="163">
        <v>2</v>
      </c>
      <c r="B629" s="162" t="s">
        <v>76</v>
      </c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86">
        <f t="shared" si="83"/>
        <v>0</v>
      </c>
    </row>
    <row r="630" spans="1:25" s="59" customFormat="1" ht="18.75">
      <c r="A630" s="163"/>
      <c r="B630" s="81">
        <v>15</v>
      </c>
      <c r="C630" s="81">
        <v>150</v>
      </c>
      <c r="D630" s="81">
        <v>15</v>
      </c>
      <c r="E630" s="81">
        <v>150</v>
      </c>
      <c r="F630" s="81" t="s">
        <v>433</v>
      </c>
      <c r="G630" s="81"/>
      <c r="H630" s="81"/>
      <c r="I630" s="81"/>
      <c r="J630" s="81"/>
      <c r="K630" s="81"/>
      <c r="L630" s="81"/>
      <c r="M630" s="81">
        <v>100</v>
      </c>
      <c r="N630" s="81">
        <v>300</v>
      </c>
      <c r="O630" s="81">
        <v>150</v>
      </c>
      <c r="P630" s="81">
        <v>1</v>
      </c>
      <c r="Q630" s="81">
        <v>50</v>
      </c>
      <c r="R630" s="81">
        <v>50</v>
      </c>
      <c r="S630" s="81">
        <v>20</v>
      </c>
      <c r="T630" s="81">
        <v>10</v>
      </c>
      <c r="U630" s="81">
        <v>10</v>
      </c>
      <c r="V630" s="81">
        <v>10</v>
      </c>
      <c r="W630" s="81"/>
      <c r="X630" s="81"/>
      <c r="Y630" s="86">
        <f t="shared" si="83"/>
        <v>50</v>
      </c>
    </row>
    <row r="631" spans="1:25" s="59" customFormat="1" ht="18.75">
      <c r="A631" s="163">
        <v>3</v>
      </c>
      <c r="B631" s="162" t="s">
        <v>75</v>
      </c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86">
        <f t="shared" si="83"/>
        <v>0</v>
      </c>
    </row>
    <row r="632" spans="1:25" s="59" customFormat="1" ht="18.75">
      <c r="A632" s="163"/>
      <c r="B632" s="81">
        <v>25</v>
      </c>
      <c r="C632" s="81">
        <v>250</v>
      </c>
      <c r="D632" s="81">
        <v>25</v>
      </c>
      <c r="E632" s="81">
        <v>250</v>
      </c>
      <c r="F632" s="81" t="s">
        <v>433</v>
      </c>
      <c r="G632" s="81"/>
      <c r="H632" s="81"/>
      <c r="I632" s="81"/>
      <c r="J632" s="81"/>
      <c r="K632" s="81"/>
      <c r="L632" s="81"/>
      <c r="M632" s="81">
        <v>160</v>
      </c>
      <c r="N632" s="81">
        <v>390</v>
      </c>
      <c r="O632" s="81">
        <v>250</v>
      </c>
      <c r="P632" s="81">
        <v>1</v>
      </c>
      <c r="Q632" s="81">
        <v>100</v>
      </c>
      <c r="R632" s="82">
        <v>165</v>
      </c>
      <c r="S632" s="82">
        <v>66</v>
      </c>
      <c r="T632" s="82">
        <v>33</v>
      </c>
      <c r="U632" s="82">
        <v>33</v>
      </c>
      <c r="V632" s="82">
        <v>33</v>
      </c>
      <c r="W632" s="81"/>
      <c r="X632" s="81"/>
      <c r="Y632" s="86">
        <f t="shared" si="83"/>
        <v>165</v>
      </c>
    </row>
    <row r="633" spans="1:25" s="59" customFormat="1" ht="36">
      <c r="A633" s="6" t="s">
        <v>431</v>
      </c>
      <c r="B633" s="81">
        <f>B628+B630+B632</f>
        <v>78</v>
      </c>
      <c r="C633" s="81">
        <f aca="true" t="shared" si="87" ref="C633:X633">C628+C630+C632</f>
        <v>780</v>
      </c>
      <c r="D633" s="81">
        <f t="shared" si="87"/>
        <v>78</v>
      </c>
      <c r="E633" s="81">
        <f t="shared" si="87"/>
        <v>780</v>
      </c>
      <c r="F633" s="81" t="s">
        <v>433</v>
      </c>
      <c r="G633" s="81">
        <f t="shared" si="87"/>
        <v>0</v>
      </c>
      <c r="H633" s="81">
        <f t="shared" si="87"/>
        <v>0</v>
      </c>
      <c r="I633" s="81">
        <f t="shared" si="87"/>
        <v>0</v>
      </c>
      <c r="J633" s="81">
        <f t="shared" si="87"/>
        <v>0</v>
      </c>
      <c r="K633" s="81">
        <f t="shared" si="87"/>
        <v>0</v>
      </c>
      <c r="L633" s="81">
        <f t="shared" si="87"/>
        <v>0</v>
      </c>
      <c r="M633" s="81">
        <f t="shared" si="87"/>
        <v>310</v>
      </c>
      <c r="N633" s="81">
        <f t="shared" si="87"/>
        <v>1060</v>
      </c>
      <c r="O633" s="81">
        <f t="shared" si="87"/>
        <v>780</v>
      </c>
      <c r="P633" s="81">
        <f t="shared" si="87"/>
        <v>3</v>
      </c>
      <c r="Q633" s="81">
        <f t="shared" si="87"/>
        <v>250</v>
      </c>
      <c r="R633" s="82">
        <f t="shared" si="87"/>
        <v>375</v>
      </c>
      <c r="S633" s="82">
        <f t="shared" si="87"/>
        <v>150</v>
      </c>
      <c r="T633" s="82">
        <f t="shared" si="87"/>
        <v>75</v>
      </c>
      <c r="U633" s="82">
        <f t="shared" si="87"/>
        <v>75</v>
      </c>
      <c r="V633" s="82">
        <f t="shared" si="87"/>
        <v>75</v>
      </c>
      <c r="W633" s="81">
        <f t="shared" si="87"/>
        <v>0</v>
      </c>
      <c r="X633" s="81">
        <f t="shared" si="87"/>
        <v>0</v>
      </c>
      <c r="Y633" s="86">
        <f t="shared" si="83"/>
        <v>375</v>
      </c>
    </row>
    <row r="634" spans="1:25" s="59" customFormat="1" ht="18.75" customHeight="1">
      <c r="A634" s="163">
        <v>1</v>
      </c>
      <c r="B634" s="162" t="s">
        <v>96</v>
      </c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86">
        <f t="shared" si="83"/>
        <v>0</v>
      </c>
    </row>
    <row r="635" spans="1:25" s="59" customFormat="1" ht="18.75">
      <c r="A635" s="163"/>
      <c r="B635" s="81">
        <v>20</v>
      </c>
      <c r="C635" s="81">
        <v>200</v>
      </c>
      <c r="D635" s="81">
        <v>20</v>
      </c>
      <c r="E635" s="81">
        <v>200</v>
      </c>
      <c r="F635" s="81" t="s">
        <v>433</v>
      </c>
      <c r="G635" s="81"/>
      <c r="H635" s="81"/>
      <c r="I635" s="81"/>
      <c r="J635" s="81"/>
      <c r="K635" s="81"/>
      <c r="L635" s="81"/>
      <c r="M635" s="81">
        <v>300</v>
      </c>
      <c r="N635" s="81">
        <v>900</v>
      </c>
      <c r="O635" s="81">
        <v>200</v>
      </c>
      <c r="P635" s="81">
        <v>1</v>
      </c>
      <c r="Q635" s="81">
        <v>100</v>
      </c>
      <c r="R635" s="82">
        <v>280</v>
      </c>
      <c r="S635" s="82">
        <v>112</v>
      </c>
      <c r="T635" s="82">
        <v>56</v>
      </c>
      <c r="U635" s="82">
        <f>R635*0.2</f>
        <v>56</v>
      </c>
      <c r="V635" s="82">
        <v>56</v>
      </c>
      <c r="W635" s="81">
        <v>0</v>
      </c>
      <c r="X635" s="81">
        <v>0</v>
      </c>
      <c r="Y635" s="86">
        <f t="shared" si="83"/>
        <v>280</v>
      </c>
    </row>
    <row r="636" spans="1:25" s="59" customFormat="1" ht="18.75" customHeight="1">
      <c r="A636" s="163">
        <v>1</v>
      </c>
      <c r="B636" s="162" t="s">
        <v>95</v>
      </c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86">
        <f t="shared" si="83"/>
        <v>0</v>
      </c>
    </row>
    <row r="637" spans="1:25" s="59" customFormat="1" ht="18.75" customHeight="1">
      <c r="A637" s="163"/>
      <c r="B637" s="81">
        <v>25</v>
      </c>
      <c r="C637" s="81">
        <v>100</v>
      </c>
      <c r="D637" s="81">
        <v>25</v>
      </c>
      <c r="E637" s="81">
        <v>100</v>
      </c>
      <c r="F637" s="81" t="s">
        <v>433</v>
      </c>
      <c r="G637" s="81"/>
      <c r="H637" s="81"/>
      <c r="I637" s="81"/>
      <c r="J637" s="81"/>
      <c r="K637" s="81"/>
      <c r="L637" s="81"/>
      <c r="M637" s="81"/>
      <c r="N637" s="81">
        <v>1350</v>
      </c>
      <c r="O637" s="81">
        <v>100</v>
      </c>
      <c r="P637" s="81">
        <v>1</v>
      </c>
      <c r="Q637" s="81">
        <v>100</v>
      </c>
      <c r="R637" s="81">
        <v>216</v>
      </c>
      <c r="S637" s="81">
        <v>86.4</v>
      </c>
      <c r="T637" s="81">
        <v>43.2</v>
      </c>
      <c r="U637" s="81">
        <v>43.2</v>
      </c>
      <c r="V637" s="81">
        <v>43.2</v>
      </c>
      <c r="W637" s="81">
        <v>0</v>
      </c>
      <c r="X637" s="81">
        <v>0</v>
      </c>
      <c r="Y637" s="86">
        <f t="shared" si="83"/>
        <v>216</v>
      </c>
    </row>
    <row r="638" spans="1:25" s="59" customFormat="1" ht="20.25" customHeight="1">
      <c r="A638" s="163">
        <v>1</v>
      </c>
      <c r="B638" s="162" t="s">
        <v>77</v>
      </c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86">
        <f t="shared" si="83"/>
        <v>0</v>
      </c>
    </row>
    <row r="639" spans="1:25" s="59" customFormat="1" ht="18.75">
      <c r="A639" s="163"/>
      <c r="B639" s="81">
        <v>17</v>
      </c>
      <c r="C639" s="81">
        <v>124</v>
      </c>
      <c r="D639" s="81">
        <v>16</v>
      </c>
      <c r="E639" s="81">
        <v>112</v>
      </c>
      <c r="F639" s="81" t="s">
        <v>433</v>
      </c>
      <c r="G639" s="81"/>
      <c r="H639" s="81"/>
      <c r="I639" s="81"/>
      <c r="J639" s="81">
        <v>1</v>
      </c>
      <c r="K639" s="81">
        <v>12</v>
      </c>
      <c r="L639" s="81" t="s">
        <v>433</v>
      </c>
      <c r="M639" s="81"/>
      <c r="N639" s="81">
        <v>600</v>
      </c>
      <c r="O639" s="81">
        <v>124</v>
      </c>
      <c r="P639" s="81">
        <v>1</v>
      </c>
      <c r="Q639" s="81">
        <v>150</v>
      </c>
      <c r="R639" s="81">
        <v>103.4</v>
      </c>
      <c r="S639" s="81">
        <v>39.2</v>
      </c>
      <c r="T639" s="81">
        <v>19.6</v>
      </c>
      <c r="U639" s="81">
        <v>19.6</v>
      </c>
      <c r="V639" s="81">
        <v>19.6</v>
      </c>
      <c r="W639" s="81">
        <v>0</v>
      </c>
      <c r="X639" s="81">
        <v>5.3</v>
      </c>
      <c r="Y639" s="86">
        <f t="shared" si="83"/>
        <v>98</v>
      </c>
    </row>
    <row r="640" spans="1:25" s="59" customFormat="1" ht="18.75">
      <c r="A640" s="163">
        <v>2</v>
      </c>
      <c r="B640" s="162" t="s">
        <v>78</v>
      </c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86">
        <f t="shared" si="83"/>
        <v>0</v>
      </c>
    </row>
    <row r="641" spans="1:25" s="59" customFormat="1" ht="23.25" customHeight="1">
      <c r="A641" s="163"/>
      <c r="B641" s="81">
        <v>50</v>
      </c>
      <c r="C641" s="81">
        <v>350</v>
      </c>
      <c r="D641" s="81">
        <v>50</v>
      </c>
      <c r="E641" s="81">
        <v>350</v>
      </c>
      <c r="F641" s="81" t="s">
        <v>433</v>
      </c>
      <c r="G641" s="81"/>
      <c r="H641" s="81"/>
      <c r="I641" s="81"/>
      <c r="J641" s="81"/>
      <c r="K641" s="81"/>
      <c r="L641" s="81"/>
      <c r="M641" s="81"/>
      <c r="N641" s="81">
        <v>1200</v>
      </c>
      <c r="O641" s="81">
        <v>350</v>
      </c>
      <c r="P641" s="81">
        <v>1</v>
      </c>
      <c r="Q641" s="81">
        <v>400</v>
      </c>
      <c r="R641" s="81">
        <v>216</v>
      </c>
      <c r="S641" s="81">
        <v>86.4</v>
      </c>
      <c r="T641" s="81">
        <v>43.2</v>
      </c>
      <c r="U641" s="81">
        <v>43.2</v>
      </c>
      <c r="V641" s="81">
        <v>43.2</v>
      </c>
      <c r="W641" s="81">
        <v>0</v>
      </c>
      <c r="X641" s="81">
        <v>0</v>
      </c>
      <c r="Y641" s="86">
        <f t="shared" si="83"/>
        <v>216</v>
      </c>
    </row>
    <row r="642" spans="1:25" s="59" customFormat="1" ht="36">
      <c r="A642" s="6" t="s">
        <v>431</v>
      </c>
      <c r="B642" s="81">
        <f>B639+B641</f>
        <v>67</v>
      </c>
      <c r="C642" s="81">
        <f aca="true" t="shared" si="88" ref="C642:X642">C639+C641</f>
        <v>474</v>
      </c>
      <c r="D642" s="81">
        <f t="shared" si="88"/>
        <v>66</v>
      </c>
      <c r="E642" s="81">
        <f t="shared" si="88"/>
        <v>462</v>
      </c>
      <c r="F642" s="81" t="s">
        <v>433</v>
      </c>
      <c r="G642" s="81">
        <f t="shared" si="88"/>
        <v>0</v>
      </c>
      <c r="H642" s="81">
        <f t="shared" si="88"/>
        <v>0</v>
      </c>
      <c r="I642" s="81"/>
      <c r="J642" s="81">
        <f>J639+J641</f>
        <v>1</v>
      </c>
      <c r="K642" s="81">
        <f>K639+K641</f>
        <v>12</v>
      </c>
      <c r="L642" s="81" t="s">
        <v>433</v>
      </c>
      <c r="M642" s="81"/>
      <c r="N642" s="81">
        <f>N639+N641</f>
        <v>1800</v>
      </c>
      <c r="O642" s="81">
        <f>O639+O641</f>
        <v>474</v>
      </c>
      <c r="P642" s="81">
        <f t="shared" si="88"/>
        <v>2</v>
      </c>
      <c r="Q642" s="81">
        <f t="shared" si="88"/>
        <v>550</v>
      </c>
      <c r="R642" s="81">
        <f t="shared" si="88"/>
        <v>319.4</v>
      </c>
      <c r="S642" s="81">
        <f t="shared" si="88"/>
        <v>125.60000000000001</v>
      </c>
      <c r="T642" s="81">
        <f t="shared" si="88"/>
        <v>62.800000000000004</v>
      </c>
      <c r="U642" s="81">
        <f t="shared" si="88"/>
        <v>62.800000000000004</v>
      </c>
      <c r="V642" s="81">
        <f t="shared" si="88"/>
        <v>62.800000000000004</v>
      </c>
      <c r="W642" s="81">
        <f t="shared" si="88"/>
        <v>0</v>
      </c>
      <c r="X642" s="81">
        <f t="shared" si="88"/>
        <v>5.3</v>
      </c>
      <c r="Y642" s="86">
        <f t="shared" si="83"/>
        <v>314</v>
      </c>
    </row>
    <row r="643" spans="1:25" s="59" customFormat="1" ht="23.25" customHeight="1">
      <c r="A643" s="163">
        <v>1</v>
      </c>
      <c r="B643" s="162" t="s">
        <v>79</v>
      </c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86">
        <f t="shared" si="83"/>
        <v>0</v>
      </c>
    </row>
    <row r="644" spans="1:25" s="59" customFormat="1" ht="18.75">
      <c r="A644" s="163"/>
      <c r="B644" s="81">
        <v>6</v>
      </c>
      <c r="C644" s="81">
        <v>42</v>
      </c>
      <c r="D644" s="81">
        <v>6</v>
      </c>
      <c r="E644" s="81">
        <v>42</v>
      </c>
      <c r="F644" s="81" t="s">
        <v>433</v>
      </c>
      <c r="G644" s="81"/>
      <c r="H644" s="81"/>
      <c r="I644" s="81"/>
      <c r="J644" s="81"/>
      <c r="K644" s="81"/>
      <c r="L644" s="81"/>
      <c r="M644" s="81"/>
      <c r="N644" s="81">
        <v>150</v>
      </c>
      <c r="O644" s="81">
        <v>42</v>
      </c>
      <c r="P644" s="81">
        <v>1</v>
      </c>
      <c r="Q644" s="83">
        <v>150</v>
      </c>
      <c r="R644" s="82">
        <v>130</v>
      </c>
      <c r="S644" s="82">
        <v>52</v>
      </c>
      <c r="T644" s="82">
        <v>26</v>
      </c>
      <c r="U644" s="82">
        <v>26</v>
      </c>
      <c r="V644" s="82">
        <v>26</v>
      </c>
      <c r="W644" s="81">
        <v>0</v>
      </c>
      <c r="X644" s="81">
        <v>0</v>
      </c>
      <c r="Y644" s="86">
        <f t="shared" si="83"/>
        <v>130</v>
      </c>
    </row>
    <row r="645" spans="1:25" s="59" customFormat="1" ht="18.75">
      <c r="A645" s="163">
        <v>2</v>
      </c>
      <c r="B645" s="162" t="s">
        <v>80</v>
      </c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86">
        <f t="shared" si="83"/>
        <v>0</v>
      </c>
    </row>
    <row r="646" spans="1:25" s="59" customFormat="1" ht="17.25" customHeight="1">
      <c r="A646" s="163"/>
      <c r="B646" s="81">
        <v>7</v>
      </c>
      <c r="C646" s="81">
        <v>49</v>
      </c>
      <c r="D646" s="81">
        <v>7</v>
      </c>
      <c r="E646" s="81">
        <v>49</v>
      </c>
      <c r="F646" s="81" t="s">
        <v>433</v>
      </c>
      <c r="G646" s="81"/>
      <c r="H646" s="81"/>
      <c r="I646" s="81"/>
      <c r="J646" s="81"/>
      <c r="K646" s="81"/>
      <c r="L646" s="81"/>
      <c r="M646" s="81"/>
      <c r="N646" s="81">
        <v>175</v>
      </c>
      <c r="O646" s="81">
        <v>49</v>
      </c>
      <c r="P646" s="81">
        <v>1</v>
      </c>
      <c r="Q646" s="81">
        <v>175</v>
      </c>
      <c r="R646" s="81">
        <v>152</v>
      </c>
      <c r="S646" s="81">
        <v>60.8</v>
      </c>
      <c r="T646" s="81">
        <v>30.4</v>
      </c>
      <c r="U646" s="81">
        <v>30.4</v>
      </c>
      <c r="V646" s="81">
        <v>30.4</v>
      </c>
      <c r="W646" s="81">
        <v>0</v>
      </c>
      <c r="X646" s="81">
        <v>0</v>
      </c>
      <c r="Y646" s="86">
        <f t="shared" si="83"/>
        <v>152</v>
      </c>
    </row>
    <row r="647" spans="1:25" s="59" customFormat="1" ht="18.75" customHeight="1">
      <c r="A647" s="163">
        <v>3</v>
      </c>
      <c r="B647" s="162" t="s">
        <v>81</v>
      </c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86">
        <f t="shared" si="83"/>
        <v>0</v>
      </c>
    </row>
    <row r="648" spans="1:25" s="59" customFormat="1" ht="18.75">
      <c r="A648" s="163"/>
      <c r="B648" s="81">
        <v>3</v>
      </c>
      <c r="C648" s="81">
        <v>21</v>
      </c>
      <c r="D648" s="81">
        <v>3</v>
      </c>
      <c r="E648" s="81">
        <v>21</v>
      </c>
      <c r="F648" s="81" t="s">
        <v>433</v>
      </c>
      <c r="G648" s="81"/>
      <c r="H648" s="81"/>
      <c r="I648" s="81"/>
      <c r="J648" s="81"/>
      <c r="K648" s="81"/>
      <c r="L648" s="81"/>
      <c r="M648" s="81"/>
      <c r="N648" s="81">
        <v>75</v>
      </c>
      <c r="O648" s="81">
        <v>21</v>
      </c>
      <c r="P648" s="81">
        <v>1</v>
      </c>
      <c r="Q648" s="83">
        <v>75</v>
      </c>
      <c r="R648" s="82">
        <v>65</v>
      </c>
      <c r="S648" s="82">
        <v>26</v>
      </c>
      <c r="T648" s="82">
        <v>13</v>
      </c>
      <c r="U648" s="82">
        <v>13</v>
      </c>
      <c r="V648" s="82">
        <v>13</v>
      </c>
      <c r="W648" s="81">
        <v>0</v>
      </c>
      <c r="X648" s="81">
        <v>0</v>
      </c>
      <c r="Y648" s="86">
        <f t="shared" si="83"/>
        <v>65</v>
      </c>
    </row>
    <row r="649" spans="1:25" s="59" customFormat="1" ht="39.75" customHeight="1">
      <c r="A649" s="6" t="s">
        <v>431</v>
      </c>
      <c r="B649" s="81">
        <f>B644+B646+B648</f>
        <v>16</v>
      </c>
      <c r="C649" s="81">
        <f aca="true" t="shared" si="89" ref="C649:X649">C644+C646+C648</f>
        <v>112</v>
      </c>
      <c r="D649" s="81">
        <f t="shared" si="89"/>
        <v>16</v>
      </c>
      <c r="E649" s="81">
        <f t="shared" si="89"/>
        <v>112</v>
      </c>
      <c r="F649" s="81" t="s">
        <v>433</v>
      </c>
      <c r="G649" s="81">
        <f t="shared" si="89"/>
        <v>0</v>
      </c>
      <c r="H649" s="81">
        <f t="shared" si="89"/>
        <v>0</v>
      </c>
      <c r="I649" s="81" t="s">
        <v>441</v>
      </c>
      <c r="J649" s="81">
        <f t="shared" si="89"/>
        <v>0</v>
      </c>
      <c r="K649" s="81">
        <f t="shared" si="89"/>
        <v>0</v>
      </c>
      <c r="L649" s="81">
        <f t="shared" si="89"/>
        <v>0</v>
      </c>
      <c r="M649" s="81">
        <f t="shared" si="89"/>
        <v>0</v>
      </c>
      <c r="N649" s="81">
        <f t="shared" si="89"/>
        <v>400</v>
      </c>
      <c r="O649" s="81">
        <f t="shared" si="89"/>
        <v>112</v>
      </c>
      <c r="P649" s="81">
        <f t="shared" si="89"/>
        <v>3</v>
      </c>
      <c r="Q649" s="81">
        <f t="shared" si="89"/>
        <v>400</v>
      </c>
      <c r="R649" s="81">
        <f t="shared" si="89"/>
        <v>347</v>
      </c>
      <c r="S649" s="81">
        <f t="shared" si="89"/>
        <v>138.8</v>
      </c>
      <c r="T649" s="81">
        <f t="shared" si="89"/>
        <v>69.4</v>
      </c>
      <c r="U649" s="81">
        <f t="shared" si="89"/>
        <v>69.4</v>
      </c>
      <c r="V649" s="81">
        <f t="shared" si="89"/>
        <v>69.4</v>
      </c>
      <c r="W649" s="81">
        <f t="shared" si="89"/>
        <v>0</v>
      </c>
      <c r="X649" s="81">
        <f t="shared" si="89"/>
        <v>0</v>
      </c>
      <c r="Y649" s="86">
        <f t="shared" si="83"/>
        <v>347</v>
      </c>
    </row>
    <row r="650" spans="1:25" ht="36" outlineLevel="1">
      <c r="A650" s="6" t="s">
        <v>437</v>
      </c>
      <c r="B650" s="6">
        <f>B616+B618+B619+B614+B609+B602+B649+B642+B633+B626+B635+B637</f>
        <v>1227</v>
      </c>
      <c r="C650" s="24">
        <f aca="true" t="shared" si="90" ref="C650:S650">C616+C618+C619+C614+C609+C602+C649+C642+C633+C626+C635+C637</f>
        <v>5977.778375</v>
      </c>
      <c r="D650" s="24">
        <f t="shared" si="90"/>
        <v>1212</v>
      </c>
      <c r="E650" s="24">
        <f t="shared" si="90"/>
        <v>5656.078374999999</v>
      </c>
      <c r="F650" s="6" t="s">
        <v>433</v>
      </c>
      <c r="G650" s="6">
        <f t="shared" si="90"/>
        <v>0</v>
      </c>
      <c r="H650" s="6">
        <f t="shared" si="90"/>
        <v>0</v>
      </c>
      <c r="I650" s="6" t="s">
        <v>441</v>
      </c>
      <c r="J650" s="6">
        <f t="shared" si="90"/>
        <v>15</v>
      </c>
      <c r="K650" s="6">
        <f t="shared" si="90"/>
        <v>334</v>
      </c>
      <c r="L650" s="6" t="s">
        <v>433</v>
      </c>
      <c r="M650" s="6">
        <f t="shared" si="90"/>
        <v>11710</v>
      </c>
      <c r="N650" s="6">
        <f t="shared" si="90"/>
        <v>33420</v>
      </c>
      <c r="O650" s="24">
        <f t="shared" si="90"/>
        <v>5280.458233695652</v>
      </c>
      <c r="P650" s="6">
        <f t="shared" si="90"/>
        <v>18</v>
      </c>
      <c r="Q650" s="6">
        <f t="shared" si="90"/>
        <v>4910</v>
      </c>
      <c r="R650" s="19">
        <f>R616+R618+R619+R614+R609+R602+R649+R642+R633+R626+R635+R637</f>
        <v>7252.965757249999</v>
      </c>
      <c r="S650" s="19">
        <f t="shared" si="90"/>
        <v>2794.3383029</v>
      </c>
      <c r="T650" s="19">
        <f>T616+T618+T619+T614+T609+T602+T649+T642+T633+T626+T635+T637</f>
        <v>1397.16915145</v>
      </c>
      <c r="U650" s="19">
        <f>U616+U618+U619+U614+U609+U602+U649+U642+U633+U626+U635+U637</f>
        <v>1397.16915145</v>
      </c>
      <c r="V650" s="19">
        <f>V616+V618+V619+V614+V609+V602+V649+V642+V633+V626+V635+V637</f>
        <v>1397.16915145</v>
      </c>
      <c r="W650" s="19">
        <f>W616+W618+W619+W614+W609+W602+W649+W642+W633+W626+W635+W637</f>
        <v>0</v>
      </c>
      <c r="X650" s="19">
        <f>X616+X618+X619+X614+X609+X602+X649+X642+X633+X626+X635+X637</f>
        <v>267.02000000000004</v>
      </c>
      <c r="Y650" s="4">
        <f>U650*2</f>
        <v>2794.3383029</v>
      </c>
    </row>
    <row r="651" spans="1:25" ht="12.75" customHeight="1" outlineLevel="1">
      <c r="A651" s="161" t="s">
        <v>432</v>
      </c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4">
        <f>U651*2</f>
        <v>0</v>
      </c>
    </row>
    <row r="652" spans="1:25" ht="17.25" customHeight="1" outlineLevel="1">
      <c r="A652" s="164" t="s">
        <v>438</v>
      </c>
      <c r="B652" s="162" t="s">
        <v>588</v>
      </c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4">
        <f>U652*2</f>
        <v>0</v>
      </c>
    </row>
    <row r="653" spans="1:25" ht="18" outlineLevel="1">
      <c r="A653" s="164"/>
      <c r="B653" s="6">
        <f>D653+G653+J653</f>
        <v>44</v>
      </c>
      <c r="C653" s="19">
        <f>E653+H653+K653</f>
        <v>114.57600000000001</v>
      </c>
      <c r="D653" s="6">
        <v>44</v>
      </c>
      <c r="E653" s="8">
        <f>D653*FORECAST(D653,AA$12:AA$13,Z$12:Z$13)</f>
        <v>114.57600000000001</v>
      </c>
      <c r="F653" s="6" t="s">
        <v>433</v>
      </c>
      <c r="G653" s="6">
        <v>0</v>
      </c>
      <c r="H653" s="6">
        <v>0</v>
      </c>
      <c r="I653" s="6" t="s">
        <v>441</v>
      </c>
      <c r="J653" s="6">
        <v>0</v>
      </c>
      <c r="K653" s="6">
        <v>0</v>
      </c>
      <c r="L653" s="6" t="s">
        <v>441</v>
      </c>
      <c r="M653" s="6">
        <v>250</v>
      </c>
      <c r="N653" s="6">
        <v>1000</v>
      </c>
      <c r="O653" s="8">
        <f>C653/0.92</f>
        <v>124.5391304347826</v>
      </c>
      <c r="P653" s="6">
        <v>1</v>
      </c>
      <c r="Q653" s="6">
        <v>630</v>
      </c>
      <c r="R653" s="8">
        <f>1.454*C653</f>
        <v>166.593504</v>
      </c>
      <c r="S653" s="9">
        <f>E653*1.454*0.4</f>
        <v>66.6374016</v>
      </c>
      <c r="T653" s="9">
        <f>E653*1.454*0.2</f>
        <v>33.3187008</v>
      </c>
      <c r="U653" s="9">
        <f>E653*1.454*0.2</f>
        <v>33.3187008</v>
      </c>
      <c r="V653" s="9">
        <f>E653*1.454*0.2</f>
        <v>33.3187008</v>
      </c>
      <c r="W653" s="9">
        <f>H653*1.454</f>
        <v>0</v>
      </c>
      <c r="X653" s="9">
        <f>K653*1.454</f>
        <v>0</v>
      </c>
      <c r="Y653" s="4">
        <f>U653*2</f>
        <v>66.6374016</v>
      </c>
    </row>
    <row r="654" spans="1:25" ht="108">
      <c r="A654" s="6" t="s">
        <v>732</v>
      </c>
      <c r="B654" s="6">
        <f>B650+B653</f>
        <v>1271</v>
      </c>
      <c r="C654" s="19">
        <f aca="true" t="shared" si="91" ref="C654:X654">C650+C653</f>
        <v>6092.354375</v>
      </c>
      <c r="D654" s="24">
        <f t="shared" si="91"/>
        <v>1256</v>
      </c>
      <c r="E654" s="19">
        <f t="shared" si="91"/>
        <v>5770.654374999999</v>
      </c>
      <c r="F654" s="6" t="s">
        <v>433</v>
      </c>
      <c r="G654" s="6">
        <f t="shared" si="91"/>
        <v>0</v>
      </c>
      <c r="H654" s="6">
        <f t="shared" si="91"/>
        <v>0</v>
      </c>
      <c r="I654" s="6" t="s">
        <v>698</v>
      </c>
      <c r="J654" s="6">
        <f t="shared" si="91"/>
        <v>15</v>
      </c>
      <c r="K654" s="6">
        <f t="shared" si="91"/>
        <v>334</v>
      </c>
      <c r="L654" s="6" t="s">
        <v>433</v>
      </c>
      <c r="M654" s="6">
        <f t="shared" si="91"/>
        <v>11960</v>
      </c>
      <c r="N654" s="6">
        <f t="shared" si="91"/>
        <v>34420</v>
      </c>
      <c r="O654" s="6">
        <f t="shared" si="91"/>
        <v>5404.997364130434</v>
      </c>
      <c r="P654" s="6">
        <f t="shared" si="91"/>
        <v>19</v>
      </c>
      <c r="Q654" s="6">
        <f t="shared" si="91"/>
        <v>5540</v>
      </c>
      <c r="R654" s="19">
        <f>R650+R653</f>
        <v>7419.5592612499995</v>
      </c>
      <c r="S654" s="19">
        <f>S650+S653</f>
        <v>2860.9757045</v>
      </c>
      <c r="T654" s="19">
        <f t="shared" si="91"/>
        <v>1430.48785225</v>
      </c>
      <c r="U654" s="19">
        <f>U650+U653</f>
        <v>1430.48785225</v>
      </c>
      <c r="V654" s="19">
        <f t="shared" si="91"/>
        <v>1430.48785225</v>
      </c>
      <c r="W654" s="6">
        <f t="shared" si="91"/>
        <v>0</v>
      </c>
      <c r="X654" s="6">
        <f t="shared" si="91"/>
        <v>267.02000000000004</v>
      </c>
      <c r="Y654" s="86">
        <f>S654+T654+U654+V654+X654</f>
        <v>7419.459261250001</v>
      </c>
    </row>
    <row r="655" spans="1:25" ht="18">
      <c r="A655" s="171" t="s">
        <v>447</v>
      </c>
      <c r="B655" s="171"/>
      <c r="C655" s="171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4">
        <f aca="true" t="shared" si="92" ref="Y655:Y668">U655*2</f>
        <v>0</v>
      </c>
    </row>
    <row r="656" spans="1:25" ht="18.75" outlineLevel="1">
      <c r="A656" s="13">
        <v>1</v>
      </c>
      <c r="B656" s="13">
        <v>2</v>
      </c>
      <c r="C656" s="13">
        <v>3</v>
      </c>
      <c r="D656" s="13">
        <v>4</v>
      </c>
      <c r="E656" s="13">
        <v>5</v>
      </c>
      <c r="F656" s="13">
        <v>6</v>
      </c>
      <c r="G656" s="13">
        <v>7</v>
      </c>
      <c r="H656" s="13">
        <v>8</v>
      </c>
      <c r="I656" s="13">
        <v>9</v>
      </c>
      <c r="J656" s="13">
        <v>10</v>
      </c>
      <c r="K656" s="13">
        <v>11</v>
      </c>
      <c r="L656" s="13">
        <v>12</v>
      </c>
      <c r="M656" s="13">
        <v>13</v>
      </c>
      <c r="N656" s="13">
        <v>14</v>
      </c>
      <c r="O656" s="13">
        <v>15</v>
      </c>
      <c r="P656" s="13">
        <v>16</v>
      </c>
      <c r="Q656" s="13">
        <v>17</v>
      </c>
      <c r="R656" s="13">
        <v>18</v>
      </c>
      <c r="S656" s="89">
        <v>19</v>
      </c>
      <c r="T656" s="14">
        <v>20</v>
      </c>
      <c r="U656" s="14">
        <v>21</v>
      </c>
      <c r="V656" s="14">
        <v>22</v>
      </c>
      <c r="W656" s="14">
        <v>23</v>
      </c>
      <c r="X656" s="14">
        <v>24</v>
      </c>
      <c r="Y656" s="4">
        <f t="shared" si="92"/>
        <v>42</v>
      </c>
    </row>
    <row r="657" spans="1:25" ht="17.25" customHeight="1" outlineLevel="1">
      <c r="A657" s="161" t="s">
        <v>430</v>
      </c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4">
        <f t="shared" si="92"/>
        <v>0</v>
      </c>
    </row>
    <row r="658" spans="1:25" ht="12.75" customHeight="1" outlineLevel="2">
      <c r="A658" s="170">
        <v>1</v>
      </c>
      <c r="B658" s="162" t="s">
        <v>213</v>
      </c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4">
        <f t="shared" si="92"/>
        <v>0</v>
      </c>
    </row>
    <row r="659" spans="1:25" ht="18" outlineLevel="2">
      <c r="A659" s="170"/>
      <c r="B659" s="5">
        <f>D659+G659+J659</f>
        <v>10</v>
      </c>
      <c r="C659" s="8">
        <f>E659+H659+K659</f>
        <v>55.26666666666667</v>
      </c>
      <c r="D659" s="5">
        <v>10</v>
      </c>
      <c r="E659" s="8">
        <f>D659*FORECAST(D659,AA$7:AA$8,Z$7:Z$8)</f>
        <v>55.26666666666667</v>
      </c>
      <c r="F659" s="5" t="s">
        <v>433</v>
      </c>
      <c r="G659" s="5"/>
      <c r="H659" s="5"/>
      <c r="I659" s="5"/>
      <c r="J659" s="5"/>
      <c r="K659" s="5"/>
      <c r="L659" s="5"/>
      <c r="M659" s="5"/>
      <c r="N659" s="5">
        <v>200</v>
      </c>
      <c r="O659" s="8">
        <f>C659/0.92</f>
        <v>60.072463768115945</v>
      </c>
      <c r="P659" s="5"/>
      <c r="Q659" s="5"/>
      <c r="R659" s="8">
        <f>1.454*C659</f>
        <v>80.35773333333334</v>
      </c>
      <c r="S659" s="9">
        <f>E659*1.454*0.4</f>
        <v>32.14309333333334</v>
      </c>
      <c r="T659" s="9">
        <f>E659*1.454*0.2</f>
        <v>16.07154666666667</v>
      </c>
      <c r="U659" s="9">
        <f>E659*1.454*0.2</f>
        <v>16.07154666666667</v>
      </c>
      <c r="V659" s="9">
        <f>E659*1.454*0.2</f>
        <v>16.07154666666667</v>
      </c>
      <c r="W659" s="9">
        <f>H659*1.454</f>
        <v>0</v>
      </c>
      <c r="X659" s="9">
        <f>K659*1.454</f>
        <v>0</v>
      </c>
      <c r="Y659" s="4">
        <f t="shared" si="92"/>
        <v>32.14309333333334</v>
      </c>
    </row>
    <row r="660" spans="1:25" ht="12.75" customHeight="1" outlineLevel="2">
      <c r="A660" s="170">
        <v>2</v>
      </c>
      <c r="B660" s="162" t="s">
        <v>214</v>
      </c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4">
        <f t="shared" si="92"/>
        <v>0</v>
      </c>
    </row>
    <row r="661" spans="1:25" ht="18" outlineLevel="2">
      <c r="A661" s="170"/>
      <c r="B661" s="5">
        <f>D661+G661+J661</f>
        <v>12</v>
      </c>
      <c r="C661" s="8">
        <f>E661+H661+K661</f>
        <v>59.52000000000001</v>
      </c>
      <c r="D661" s="5">
        <v>12</v>
      </c>
      <c r="E661" s="8">
        <f>D661*FORECAST(D661,AA$8:AA$9,Z$8:Z$9)</f>
        <v>59.52000000000001</v>
      </c>
      <c r="F661" s="5" t="s">
        <v>433</v>
      </c>
      <c r="G661" s="5"/>
      <c r="H661" s="5"/>
      <c r="I661" s="5"/>
      <c r="J661" s="5"/>
      <c r="K661" s="5"/>
      <c r="L661" s="5"/>
      <c r="M661" s="5"/>
      <c r="N661" s="5">
        <v>200</v>
      </c>
      <c r="O661" s="8">
        <f>C661/0.92</f>
        <v>64.69565217391305</v>
      </c>
      <c r="P661" s="5"/>
      <c r="Q661" s="5"/>
      <c r="R661" s="8">
        <f>1.454*C661</f>
        <v>86.54208000000001</v>
      </c>
      <c r="S661" s="9">
        <f>E661*1.454*0.4</f>
        <v>34.61683200000001</v>
      </c>
      <c r="T661" s="9">
        <f>E661*1.454*0.2</f>
        <v>17.308416000000005</v>
      </c>
      <c r="U661" s="9">
        <f>E661*1.454*0.2</f>
        <v>17.308416000000005</v>
      </c>
      <c r="V661" s="9">
        <f>E661*1.454*0.2</f>
        <v>17.308416000000005</v>
      </c>
      <c r="W661" s="9">
        <f>H661*1.454</f>
        <v>0</v>
      </c>
      <c r="X661" s="9">
        <f>K661*1.454</f>
        <v>0</v>
      </c>
      <c r="Y661" s="4">
        <f t="shared" si="92"/>
        <v>34.61683200000001</v>
      </c>
    </row>
    <row r="662" spans="1:25" ht="12.75" customHeight="1" outlineLevel="2">
      <c r="A662" s="170">
        <v>3</v>
      </c>
      <c r="B662" s="162" t="s">
        <v>215</v>
      </c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4">
        <f t="shared" si="92"/>
        <v>0</v>
      </c>
    </row>
    <row r="663" spans="1:25" ht="18" outlineLevel="2">
      <c r="A663" s="170"/>
      <c r="B663" s="5">
        <f>D663+G663+J663</f>
        <v>14</v>
      </c>
      <c r="C663" s="8">
        <f>E663+H663+K663</f>
        <v>63.65333333333335</v>
      </c>
      <c r="D663" s="5">
        <v>14</v>
      </c>
      <c r="E663" s="8">
        <f>D663*FORECAST(D663,AA$8:AA$9,Z$8:Z$9)</f>
        <v>63.65333333333335</v>
      </c>
      <c r="F663" s="5" t="s">
        <v>433</v>
      </c>
      <c r="G663" s="5"/>
      <c r="H663" s="5"/>
      <c r="I663" s="5"/>
      <c r="J663" s="5"/>
      <c r="K663" s="5"/>
      <c r="L663" s="5"/>
      <c r="M663" s="5">
        <v>1500</v>
      </c>
      <c r="N663" s="5">
        <v>200</v>
      </c>
      <c r="O663" s="8">
        <f>C663/0.92</f>
        <v>69.18840579710147</v>
      </c>
      <c r="P663" s="5">
        <v>1</v>
      </c>
      <c r="Q663" s="5">
        <v>160</v>
      </c>
      <c r="R663" s="8">
        <f>1.454*C663</f>
        <v>92.5519466666667</v>
      </c>
      <c r="S663" s="9">
        <f>E663*1.454*0.4</f>
        <v>37.02077866666668</v>
      </c>
      <c r="T663" s="9">
        <f>E663*1.454*0.2</f>
        <v>18.51038933333334</v>
      </c>
      <c r="U663" s="9">
        <f>E663*1.454*0.2</f>
        <v>18.51038933333334</v>
      </c>
      <c r="V663" s="9">
        <f>E663*1.454*0.2</f>
        <v>18.51038933333334</v>
      </c>
      <c r="W663" s="9">
        <f>H663*1.454</f>
        <v>0</v>
      </c>
      <c r="X663" s="9">
        <f>K663*1.454</f>
        <v>0</v>
      </c>
      <c r="Y663" s="4">
        <f t="shared" si="92"/>
        <v>37.02077866666668</v>
      </c>
    </row>
    <row r="664" spans="1:25" ht="12.75" customHeight="1" outlineLevel="2">
      <c r="A664" s="170">
        <v>4</v>
      </c>
      <c r="B664" s="162" t="s">
        <v>216</v>
      </c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4">
        <f t="shared" si="92"/>
        <v>0</v>
      </c>
    </row>
    <row r="665" spans="1:25" ht="18" outlineLevel="2">
      <c r="A665" s="170"/>
      <c r="B665" s="5">
        <f>D665+G665+J665</f>
        <v>12</v>
      </c>
      <c r="C665" s="8">
        <f>E665+H665+K665</f>
        <v>59.52000000000001</v>
      </c>
      <c r="D665" s="5">
        <v>12</v>
      </c>
      <c r="E665" s="8">
        <f>D665*FORECAST(D665,AA$8:AA$9,Z$8:Z$9)</f>
        <v>59.52000000000001</v>
      </c>
      <c r="F665" s="5" t="s">
        <v>433</v>
      </c>
      <c r="G665" s="5"/>
      <c r="H665" s="5"/>
      <c r="I665" s="5"/>
      <c r="J665" s="5"/>
      <c r="K665" s="5"/>
      <c r="L665" s="5"/>
      <c r="M665" s="5"/>
      <c r="N665" s="5">
        <v>200</v>
      </c>
      <c r="O665" s="8">
        <f>C665/0.92</f>
        <v>64.69565217391305</v>
      </c>
      <c r="P665" s="5"/>
      <c r="Q665" s="5"/>
      <c r="R665" s="8">
        <f>1.454*C665</f>
        <v>86.54208000000001</v>
      </c>
      <c r="S665" s="9">
        <f>E665*1.454*0.4</f>
        <v>34.61683200000001</v>
      </c>
      <c r="T665" s="9">
        <f>E665*1.454*0.2</f>
        <v>17.308416000000005</v>
      </c>
      <c r="U665" s="9">
        <f>E665*1.454*0.2</f>
        <v>17.308416000000005</v>
      </c>
      <c r="V665" s="9">
        <f>E665*1.454*0.2</f>
        <v>17.308416000000005</v>
      </c>
      <c r="W665" s="9">
        <f>H665*1.454</f>
        <v>0</v>
      </c>
      <c r="X665" s="9">
        <f>K665*1.454</f>
        <v>0</v>
      </c>
      <c r="Y665" s="4">
        <f t="shared" si="92"/>
        <v>34.61683200000001</v>
      </c>
    </row>
    <row r="666" spans="1:25" ht="12.75" customHeight="1" outlineLevel="2">
      <c r="A666" s="170">
        <v>5</v>
      </c>
      <c r="B666" s="162" t="s">
        <v>217</v>
      </c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4">
        <f t="shared" si="92"/>
        <v>0</v>
      </c>
    </row>
    <row r="667" spans="1:25" ht="18" outlineLevel="2">
      <c r="A667" s="170"/>
      <c r="B667" s="5">
        <f>D667+G667+J667</f>
        <v>16</v>
      </c>
      <c r="C667" s="5">
        <f>E667+H667+K667</f>
        <v>67.19999999999999</v>
      </c>
      <c r="D667" s="5">
        <v>16</v>
      </c>
      <c r="E667" s="8">
        <f>D667*FORECAST(D667,AA$9:AA$10,Z$9:Z$10)</f>
        <v>67.19999999999999</v>
      </c>
      <c r="F667" s="5" t="s">
        <v>433</v>
      </c>
      <c r="G667" s="5"/>
      <c r="H667" s="5"/>
      <c r="I667" s="5"/>
      <c r="J667" s="5"/>
      <c r="K667" s="5"/>
      <c r="L667" s="5"/>
      <c r="M667" s="5"/>
      <c r="N667" s="5">
        <v>350</v>
      </c>
      <c r="O667" s="8">
        <f>C667/0.92</f>
        <v>73.04347826086955</v>
      </c>
      <c r="P667" s="5"/>
      <c r="Q667" s="5"/>
      <c r="R667" s="8">
        <f>1.454*C667</f>
        <v>97.70879999999998</v>
      </c>
      <c r="S667" s="9">
        <f>E667*1.454*0.4</f>
        <v>39.08351999999999</v>
      </c>
      <c r="T667" s="9">
        <f>E667*1.454*0.2</f>
        <v>19.541759999999996</v>
      </c>
      <c r="U667" s="9">
        <f>E667*1.454*0.2</f>
        <v>19.541759999999996</v>
      </c>
      <c r="V667" s="9">
        <f>E667*1.454*0.2</f>
        <v>19.541759999999996</v>
      </c>
      <c r="W667" s="9">
        <f>H667*1.454</f>
        <v>0</v>
      </c>
      <c r="X667" s="9">
        <f>K667*1.454</f>
        <v>0</v>
      </c>
      <c r="Y667" s="4">
        <f t="shared" si="92"/>
        <v>39.08351999999999</v>
      </c>
    </row>
    <row r="668" spans="1:25" ht="36" outlineLevel="2">
      <c r="A668" s="6" t="s">
        <v>431</v>
      </c>
      <c r="B668" s="7">
        <f>B659+B661+B663+B665+B667</f>
        <v>64</v>
      </c>
      <c r="C668" s="10">
        <f>C659+C661+C663+C665+C667</f>
        <v>305.1600000000001</v>
      </c>
      <c r="D668" s="7">
        <f>D659+D661+D663+D665+D667</f>
        <v>64</v>
      </c>
      <c r="E668" s="10">
        <f>E659+E661+E663+E665+E667</f>
        <v>305.1600000000001</v>
      </c>
      <c r="F668" s="7" t="s">
        <v>433</v>
      </c>
      <c r="G668" s="7">
        <f>G659+G661+G663+G665+G667</f>
        <v>0</v>
      </c>
      <c r="H668" s="7">
        <f>H659+H661+H663+H665+H667</f>
        <v>0</v>
      </c>
      <c r="I668" s="7" t="s">
        <v>441</v>
      </c>
      <c r="J668" s="7">
        <f>J659+J661+J663+J665+J667</f>
        <v>0</v>
      </c>
      <c r="K668" s="7">
        <f>K659+K661+K663+K665+K667</f>
        <v>0</v>
      </c>
      <c r="L668" s="7" t="s">
        <v>441</v>
      </c>
      <c r="M668" s="7">
        <f aca="true" t="shared" si="93" ref="M668:X668">M659+M661+M663+M665+M667</f>
        <v>1500</v>
      </c>
      <c r="N668" s="7">
        <f t="shared" si="93"/>
        <v>1150</v>
      </c>
      <c r="O668" s="10">
        <f>O659+O661+O663+O665+O667</f>
        <v>331.69565217391306</v>
      </c>
      <c r="P668" s="7">
        <f t="shared" si="93"/>
        <v>1</v>
      </c>
      <c r="Q668" s="7">
        <f t="shared" si="93"/>
        <v>160</v>
      </c>
      <c r="R668" s="10">
        <f t="shared" si="93"/>
        <v>443.70264000000003</v>
      </c>
      <c r="S668" s="10">
        <f t="shared" si="93"/>
        <v>177.48105600000002</v>
      </c>
      <c r="T668" s="10">
        <f t="shared" si="93"/>
        <v>88.74052800000001</v>
      </c>
      <c r="U668" s="10">
        <f t="shared" si="93"/>
        <v>88.74052800000001</v>
      </c>
      <c r="V668" s="10">
        <f t="shared" si="93"/>
        <v>88.74052800000001</v>
      </c>
      <c r="W668" s="10">
        <f t="shared" si="93"/>
        <v>0</v>
      </c>
      <c r="X668" s="10">
        <f t="shared" si="93"/>
        <v>0</v>
      </c>
      <c r="Y668" s="4">
        <f t="shared" si="92"/>
        <v>177.48105600000002</v>
      </c>
    </row>
    <row r="669" spans="1:24" ht="18" customHeight="1" outlineLevel="2">
      <c r="A669" s="170">
        <v>1</v>
      </c>
      <c r="B669" s="162" t="s">
        <v>709</v>
      </c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</row>
    <row r="670" spans="1:24" ht="18" outlineLevel="2">
      <c r="A670" s="170"/>
      <c r="B670" s="5">
        <v>1</v>
      </c>
      <c r="C670" s="5">
        <v>3</v>
      </c>
      <c r="D670" s="5">
        <v>1</v>
      </c>
      <c r="E670" s="5">
        <v>3</v>
      </c>
      <c r="F670" s="5" t="s">
        <v>433</v>
      </c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>
        <v>10</v>
      </c>
      <c r="S670" s="5">
        <v>4</v>
      </c>
      <c r="T670" s="5">
        <v>2</v>
      </c>
      <c r="U670" s="5">
        <v>2</v>
      </c>
      <c r="V670" s="5">
        <v>2</v>
      </c>
      <c r="W670" s="5">
        <v>0</v>
      </c>
      <c r="X670" s="5">
        <v>0</v>
      </c>
    </row>
    <row r="671" spans="1:25" ht="12.75" customHeight="1" outlineLevel="2">
      <c r="A671" s="170">
        <v>1</v>
      </c>
      <c r="B671" s="162" t="s">
        <v>218</v>
      </c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4">
        <f aca="true" t="shared" si="94" ref="Y671:Y676">U671*2</f>
        <v>0</v>
      </c>
    </row>
    <row r="672" spans="1:25" ht="18.75" outlineLevel="2">
      <c r="A672" s="170"/>
      <c r="B672" s="5">
        <f>D672+G672+J672</f>
        <v>20</v>
      </c>
      <c r="C672" s="5">
        <f>E672+H672+K672</f>
        <v>74.6</v>
      </c>
      <c r="D672" s="5">
        <v>20</v>
      </c>
      <c r="E672" s="8">
        <f>D672*FORECAST(D672,AA$10:AA$11,Z$10:Z$11)</f>
        <v>74.6</v>
      </c>
      <c r="F672" s="5" t="s">
        <v>433</v>
      </c>
      <c r="G672" s="13"/>
      <c r="H672" s="13"/>
      <c r="I672" s="13"/>
      <c r="J672" s="13"/>
      <c r="K672" s="13"/>
      <c r="L672" s="13"/>
      <c r="M672" s="5">
        <v>300</v>
      </c>
      <c r="N672" s="5">
        <v>600</v>
      </c>
      <c r="O672" s="8">
        <f>C672/0.92</f>
        <v>81.08695652173913</v>
      </c>
      <c r="P672" s="13"/>
      <c r="Q672" s="13"/>
      <c r="R672" s="8">
        <f>1.454*C672</f>
        <v>108.46839999999999</v>
      </c>
      <c r="S672" s="9">
        <f>E672*1.454*0.4</f>
        <v>43.38736</v>
      </c>
      <c r="T672" s="9">
        <f>E672*1.454*0.2</f>
        <v>21.69368</v>
      </c>
      <c r="U672" s="9">
        <f>E672*1.454*0.2</f>
        <v>21.69368</v>
      </c>
      <c r="V672" s="9">
        <f>E672*1.454*0.2</f>
        <v>21.69368</v>
      </c>
      <c r="W672" s="9">
        <f>H672*1.454</f>
        <v>0</v>
      </c>
      <c r="X672" s="9">
        <f>K672*1.454</f>
        <v>0</v>
      </c>
      <c r="Y672" s="4">
        <f t="shared" si="94"/>
        <v>43.38736</v>
      </c>
    </row>
    <row r="673" spans="1:25" ht="12.75" customHeight="1" outlineLevel="2">
      <c r="A673" s="170">
        <v>1</v>
      </c>
      <c r="B673" s="162" t="s">
        <v>219</v>
      </c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4">
        <f t="shared" si="94"/>
        <v>0</v>
      </c>
    </row>
    <row r="674" spans="1:25" ht="18.75" outlineLevel="2">
      <c r="A674" s="170"/>
      <c r="B674" s="5">
        <f>D674+G674+J674</f>
        <v>29</v>
      </c>
      <c r="C674" s="8">
        <f>E674+H674+K674</f>
        <v>90.896875</v>
      </c>
      <c r="D674" s="5">
        <v>29</v>
      </c>
      <c r="E674" s="8">
        <f>D674*FORECAST(D674,AA$11:AA$12,Z$11:Z$12)</f>
        <v>90.896875</v>
      </c>
      <c r="F674" s="5" t="s">
        <v>433</v>
      </c>
      <c r="G674" s="13"/>
      <c r="H674" s="13"/>
      <c r="I674" s="13"/>
      <c r="J674" s="13"/>
      <c r="K674" s="13"/>
      <c r="L674" s="13"/>
      <c r="M674" s="5">
        <v>1000</v>
      </c>
      <c r="N674" s="5">
        <v>1500</v>
      </c>
      <c r="O674" s="8">
        <f>C674/0.92</f>
        <v>98.80095108695652</v>
      </c>
      <c r="P674" s="5">
        <v>1</v>
      </c>
      <c r="Q674" s="5">
        <v>160</v>
      </c>
      <c r="R674" s="8">
        <f>1.454*C674</f>
        <v>132.16405625</v>
      </c>
      <c r="S674" s="9">
        <f>E674*1.454*0.4</f>
        <v>52.8656225</v>
      </c>
      <c r="T674" s="9">
        <f>E674*1.454*0.2</f>
        <v>26.43281125</v>
      </c>
      <c r="U674" s="9">
        <f>E674*1.454*0.2</f>
        <v>26.43281125</v>
      </c>
      <c r="V674" s="9">
        <f>E674*1.454*0.2</f>
        <v>26.43281125</v>
      </c>
      <c r="W674" s="9">
        <f>H674*1.454</f>
        <v>0</v>
      </c>
      <c r="X674" s="9">
        <f>K674*1.454</f>
        <v>0</v>
      </c>
      <c r="Y674" s="4">
        <f t="shared" si="94"/>
        <v>52.8656225</v>
      </c>
    </row>
    <row r="675" spans="1:25" ht="12.75" customHeight="1" outlineLevel="2">
      <c r="A675" s="170">
        <v>1</v>
      </c>
      <c r="B675" s="162" t="s">
        <v>220</v>
      </c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4">
        <f t="shared" si="94"/>
        <v>0</v>
      </c>
    </row>
    <row r="676" spans="1:25" ht="18.75" outlineLevel="2">
      <c r="A676" s="170"/>
      <c r="B676" s="5">
        <f>D676+G676+J676</f>
        <v>50</v>
      </c>
      <c r="C676" s="8">
        <f>E676+H676+K676</f>
        <v>126</v>
      </c>
      <c r="D676" s="13">
        <v>50</v>
      </c>
      <c r="E676" s="8">
        <f>D676*FORECAST(D676,AA$12:AA$13,Z$12:Z$13)</f>
        <v>126</v>
      </c>
      <c r="F676" s="5" t="s">
        <v>433</v>
      </c>
      <c r="G676" s="13"/>
      <c r="H676" s="13"/>
      <c r="I676" s="13"/>
      <c r="J676" s="13"/>
      <c r="K676" s="13"/>
      <c r="L676" s="13"/>
      <c r="M676" s="5">
        <v>500</v>
      </c>
      <c r="N676" s="5">
        <v>2500</v>
      </c>
      <c r="O676" s="8">
        <f>C676/0.92</f>
        <v>136.95652173913044</v>
      </c>
      <c r="P676" s="5">
        <v>2</v>
      </c>
      <c r="Q676" s="5">
        <f>500</f>
        <v>500</v>
      </c>
      <c r="R676" s="8">
        <f>1.454*C676</f>
        <v>183.204</v>
      </c>
      <c r="S676" s="9">
        <f>E676*1.454*0.4</f>
        <v>73.28160000000001</v>
      </c>
      <c r="T676" s="9">
        <f>E676*1.454*0.2</f>
        <v>36.640800000000006</v>
      </c>
      <c r="U676" s="9">
        <f>E676*1.454*0.2</f>
        <v>36.640800000000006</v>
      </c>
      <c r="V676" s="9">
        <f>E676*1.454*0.2</f>
        <v>36.640800000000006</v>
      </c>
      <c r="W676" s="9">
        <f>H676*1.454</f>
        <v>0</v>
      </c>
      <c r="X676" s="9">
        <f>K676*1.454</f>
        <v>0</v>
      </c>
      <c r="Y676" s="4">
        <f t="shared" si="94"/>
        <v>73.28160000000001</v>
      </c>
    </row>
    <row r="677" spans="1:24" ht="36" outlineLevel="2">
      <c r="A677" s="15" t="s">
        <v>437</v>
      </c>
      <c r="B677" s="5">
        <f>B668+B670+B672+B674+B676</f>
        <v>164</v>
      </c>
      <c r="C677" s="8">
        <f aca="true" t="shared" si="95" ref="C677:X677">C668+C670+C672+C674+C676</f>
        <v>599.6568750000001</v>
      </c>
      <c r="D677" s="5">
        <f t="shared" si="95"/>
        <v>164</v>
      </c>
      <c r="E677" s="8">
        <f t="shared" si="95"/>
        <v>599.6568750000001</v>
      </c>
      <c r="F677" s="5" t="s">
        <v>433</v>
      </c>
      <c r="G677" s="5">
        <f t="shared" si="95"/>
        <v>0</v>
      </c>
      <c r="H677" s="5">
        <f t="shared" si="95"/>
        <v>0</v>
      </c>
      <c r="I677" s="5" t="s">
        <v>441</v>
      </c>
      <c r="J677" s="5">
        <f t="shared" si="95"/>
        <v>0</v>
      </c>
      <c r="K677" s="5">
        <f t="shared" si="95"/>
        <v>0</v>
      </c>
      <c r="L677" s="5" t="s">
        <v>698</v>
      </c>
      <c r="M677" s="5">
        <f t="shared" si="95"/>
        <v>3300</v>
      </c>
      <c r="N677" s="5">
        <f t="shared" si="95"/>
        <v>5750</v>
      </c>
      <c r="O677" s="5">
        <f t="shared" si="95"/>
        <v>648.5400815217391</v>
      </c>
      <c r="P677" s="5">
        <f t="shared" si="95"/>
        <v>4</v>
      </c>
      <c r="Q677" s="5">
        <f t="shared" si="95"/>
        <v>820</v>
      </c>
      <c r="R677" s="8">
        <f t="shared" si="95"/>
        <v>877.5390962500001</v>
      </c>
      <c r="S677" s="8">
        <f t="shared" si="95"/>
        <v>351.0156385</v>
      </c>
      <c r="T677" s="8">
        <f t="shared" si="95"/>
        <v>175.50781925</v>
      </c>
      <c r="U677" s="8">
        <f t="shared" si="95"/>
        <v>175.50781925</v>
      </c>
      <c r="V677" s="8">
        <f t="shared" si="95"/>
        <v>175.50781925</v>
      </c>
      <c r="W677" s="8">
        <f t="shared" si="95"/>
        <v>0</v>
      </c>
      <c r="X677" s="8">
        <f t="shared" si="95"/>
        <v>0</v>
      </c>
    </row>
    <row r="678" spans="1:24" ht="17.25" customHeight="1" outlineLevel="1">
      <c r="A678" s="161" t="s">
        <v>432</v>
      </c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</row>
    <row r="679" spans="1:25" ht="12.75" customHeight="1" outlineLevel="2">
      <c r="A679" s="170">
        <v>1</v>
      </c>
      <c r="B679" s="162" t="s">
        <v>589</v>
      </c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4">
        <f aca="true" t="shared" si="96" ref="Y679:Y685">U679*2</f>
        <v>0</v>
      </c>
    </row>
    <row r="680" spans="1:25" ht="18" outlineLevel="2">
      <c r="A680" s="170"/>
      <c r="B680" s="5">
        <f>D680+G680+J680</f>
        <v>20</v>
      </c>
      <c r="C680" s="8">
        <f>E680+H680+K680</f>
        <v>74.6</v>
      </c>
      <c r="D680" s="5">
        <v>20</v>
      </c>
      <c r="E680" s="8">
        <f>D680*FORECAST(D680,AA$10:AA$11,Z$10:Z$11)</f>
        <v>74.6</v>
      </c>
      <c r="F680" s="5" t="s">
        <v>433</v>
      </c>
      <c r="G680" s="5"/>
      <c r="H680" s="5"/>
      <c r="I680" s="5"/>
      <c r="J680" s="5"/>
      <c r="K680" s="5"/>
      <c r="L680" s="5"/>
      <c r="M680" s="5"/>
      <c r="N680" s="5">
        <v>300</v>
      </c>
      <c r="O680" s="8">
        <f>C680/0.92</f>
        <v>81.08695652173913</v>
      </c>
      <c r="P680" s="5"/>
      <c r="Q680" s="5"/>
      <c r="R680" s="8">
        <f>1.454*C680</f>
        <v>108.46839999999999</v>
      </c>
      <c r="S680" s="9">
        <f>E680*1.454*0.4</f>
        <v>43.38736</v>
      </c>
      <c r="T680" s="9">
        <f>E680*1.454*0.2</f>
        <v>21.69368</v>
      </c>
      <c r="U680" s="9">
        <f>E680*1.454*0.2</f>
        <v>21.69368</v>
      </c>
      <c r="V680" s="9">
        <f>E680*1.454*0.2</f>
        <v>21.69368</v>
      </c>
      <c r="W680" s="9">
        <f>H680*1.454</f>
        <v>0</v>
      </c>
      <c r="X680" s="9">
        <f>K680*1.454</f>
        <v>0</v>
      </c>
      <c r="Y680" s="4">
        <f t="shared" si="96"/>
        <v>43.38736</v>
      </c>
    </row>
    <row r="681" spans="1:25" ht="12.75" customHeight="1" outlineLevel="2">
      <c r="A681" s="170">
        <v>1</v>
      </c>
      <c r="B681" s="162" t="s">
        <v>221</v>
      </c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4">
        <f t="shared" si="96"/>
        <v>0</v>
      </c>
    </row>
    <row r="682" spans="1:25" ht="18" outlineLevel="2">
      <c r="A682" s="170"/>
      <c r="B682" s="5">
        <f>D682+G682+J682</f>
        <v>16</v>
      </c>
      <c r="C682" s="5">
        <f>E682+H682+K682</f>
        <v>67.19999999999999</v>
      </c>
      <c r="D682" s="5">
        <v>16</v>
      </c>
      <c r="E682" s="8">
        <f>D682*FORECAST(D682,AA$9:AA$10,Z$9:Z$10)</f>
        <v>67.19999999999999</v>
      </c>
      <c r="F682" s="5" t="s">
        <v>433</v>
      </c>
      <c r="G682" s="5"/>
      <c r="H682" s="5"/>
      <c r="I682" s="5"/>
      <c r="J682" s="5"/>
      <c r="K682" s="5"/>
      <c r="L682" s="5"/>
      <c r="M682" s="5">
        <v>300</v>
      </c>
      <c r="N682" s="5">
        <v>600</v>
      </c>
      <c r="O682" s="8">
        <f>C682/0.92</f>
        <v>73.04347826086955</v>
      </c>
      <c r="P682" s="5"/>
      <c r="Q682" s="5"/>
      <c r="R682" s="8">
        <f>1.454*C682</f>
        <v>97.70879999999998</v>
      </c>
      <c r="S682" s="9">
        <f>E682*1.454*0.4</f>
        <v>39.08351999999999</v>
      </c>
      <c r="T682" s="9">
        <f>E682*1.454*0.2</f>
        <v>19.541759999999996</v>
      </c>
      <c r="U682" s="9">
        <f>E682*1.454*0.2</f>
        <v>19.541759999999996</v>
      </c>
      <c r="V682" s="9">
        <f>E682*1.454*0.2</f>
        <v>19.541759999999996</v>
      </c>
      <c r="W682" s="9">
        <f>H682*1.454</f>
        <v>0</v>
      </c>
      <c r="X682" s="9">
        <f>K682*1.454</f>
        <v>0</v>
      </c>
      <c r="Y682" s="4">
        <f t="shared" si="96"/>
        <v>39.08351999999999</v>
      </c>
    </row>
    <row r="683" spans="1:25" ht="12.75" customHeight="1" outlineLevel="2">
      <c r="A683" s="170">
        <v>2</v>
      </c>
      <c r="B683" s="162" t="s">
        <v>222</v>
      </c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4">
        <f t="shared" si="96"/>
        <v>0</v>
      </c>
    </row>
    <row r="684" spans="1:25" ht="18" outlineLevel="2">
      <c r="A684" s="170"/>
      <c r="B684" s="5">
        <f>D684+G684+J684</f>
        <v>7</v>
      </c>
      <c r="C684" s="8">
        <f>E684+H684+K684</f>
        <v>46.50333333333332</v>
      </c>
      <c r="D684" s="5">
        <v>7</v>
      </c>
      <c r="E684" s="8">
        <f>D684*FORECAST(D684,AA$6:AA$7,Z$6:Z$7)</f>
        <v>46.50333333333332</v>
      </c>
      <c r="F684" s="5" t="s">
        <v>433</v>
      </c>
      <c r="G684" s="5"/>
      <c r="H684" s="5"/>
      <c r="I684" s="5"/>
      <c r="J684" s="5"/>
      <c r="K684" s="5"/>
      <c r="L684" s="5"/>
      <c r="M684" s="5"/>
      <c r="N684" s="5">
        <v>600</v>
      </c>
      <c r="O684" s="8">
        <f>C684/0.92</f>
        <v>50.54710144927535</v>
      </c>
      <c r="P684" s="5"/>
      <c r="Q684" s="5"/>
      <c r="R684" s="8">
        <f>1.454*C684</f>
        <v>67.61584666666666</v>
      </c>
      <c r="S684" s="9">
        <f>E684*1.454*0.4</f>
        <v>27.046338666666664</v>
      </c>
      <c r="T684" s="9">
        <f>E684*1.454*0.2</f>
        <v>13.523169333333332</v>
      </c>
      <c r="U684" s="9">
        <f>E684*1.454*0.2</f>
        <v>13.523169333333332</v>
      </c>
      <c r="V684" s="9">
        <f>E684*1.454*0.2</f>
        <v>13.523169333333332</v>
      </c>
      <c r="W684" s="9">
        <f>H684*1.454</f>
        <v>0</v>
      </c>
      <c r="X684" s="9">
        <f>K684*1.454</f>
        <v>0</v>
      </c>
      <c r="Y684" s="4">
        <f t="shared" si="96"/>
        <v>27.046338666666664</v>
      </c>
    </row>
    <row r="685" spans="1:25" ht="36" outlineLevel="2">
      <c r="A685" s="6" t="s">
        <v>431</v>
      </c>
      <c r="B685" s="7">
        <f>B682+B684</f>
        <v>23</v>
      </c>
      <c r="C685" s="10">
        <f>C682+C684</f>
        <v>113.70333333333332</v>
      </c>
      <c r="D685" s="7">
        <f>D682+D684</f>
        <v>23</v>
      </c>
      <c r="E685" s="10">
        <f>E682+E684</f>
        <v>113.70333333333332</v>
      </c>
      <c r="F685" s="7" t="s">
        <v>433</v>
      </c>
      <c r="G685" s="7">
        <f>G682+G684</f>
        <v>0</v>
      </c>
      <c r="H685" s="7">
        <f>H682+H684</f>
        <v>0</v>
      </c>
      <c r="I685" s="7" t="s">
        <v>441</v>
      </c>
      <c r="J685" s="7">
        <f>J682+J684</f>
        <v>0</v>
      </c>
      <c r="K685" s="7">
        <f>K682+K684</f>
        <v>0</v>
      </c>
      <c r="L685" s="7" t="s">
        <v>441</v>
      </c>
      <c r="M685" s="7">
        <f aca="true" t="shared" si="97" ref="M685:X685">M682+M684</f>
        <v>300</v>
      </c>
      <c r="N685" s="7">
        <f t="shared" si="97"/>
        <v>1200</v>
      </c>
      <c r="O685" s="10">
        <f t="shared" si="97"/>
        <v>123.59057971014491</v>
      </c>
      <c r="P685" s="7">
        <f t="shared" si="97"/>
        <v>0</v>
      </c>
      <c r="Q685" s="7">
        <f t="shared" si="97"/>
        <v>0</v>
      </c>
      <c r="R685" s="10">
        <f t="shared" si="97"/>
        <v>165.32464666666664</v>
      </c>
      <c r="S685" s="10">
        <f t="shared" si="97"/>
        <v>66.12985866666665</v>
      </c>
      <c r="T685" s="10">
        <f t="shared" si="97"/>
        <v>33.064929333333325</v>
      </c>
      <c r="U685" s="10">
        <f t="shared" si="97"/>
        <v>33.064929333333325</v>
      </c>
      <c r="V685" s="10">
        <f t="shared" si="97"/>
        <v>33.064929333333325</v>
      </c>
      <c r="W685" s="10">
        <f t="shared" si="97"/>
        <v>0</v>
      </c>
      <c r="X685" s="10">
        <f t="shared" si="97"/>
        <v>0</v>
      </c>
      <c r="Y685" s="4">
        <f t="shared" si="96"/>
        <v>66.12985866666665</v>
      </c>
    </row>
    <row r="686" spans="1:24" ht="36" outlineLevel="2">
      <c r="A686" s="6" t="s">
        <v>438</v>
      </c>
      <c r="B686" s="7">
        <f>B680+B685</f>
        <v>43</v>
      </c>
      <c r="C686" s="10">
        <f aca="true" t="shared" si="98" ref="C686:X686">C680+C685</f>
        <v>188.3033333333333</v>
      </c>
      <c r="D686" s="7">
        <f t="shared" si="98"/>
        <v>43</v>
      </c>
      <c r="E686" s="10">
        <f t="shared" si="98"/>
        <v>188.3033333333333</v>
      </c>
      <c r="F686" s="7" t="s">
        <v>433</v>
      </c>
      <c r="G686" s="7">
        <f t="shared" si="98"/>
        <v>0</v>
      </c>
      <c r="H686" s="7">
        <f t="shared" si="98"/>
        <v>0</v>
      </c>
      <c r="I686" s="7" t="s">
        <v>698</v>
      </c>
      <c r="J686" s="7">
        <f t="shared" si="98"/>
        <v>0</v>
      </c>
      <c r="K686" s="7">
        <f t="shared" si="98"/>
        <v>0</v>
      </c>
      <c r="L686" s="7" t="s">
        <v>698</v>
      </c>
      <c r="M686" s="7">
        <f t="shared" si="98"/>
        <v>300</v>
      </c>
      <c r="N686" s="7">
        <f t="shared" si="98"/>
        <v>1500</v>
      </c>
      <c r="O686" s="10">
        <f t="shared" si="98"/>
        <v>204.67753623188403</v>
      </c>
      <c r="P686" s="7">
        <f t="shared" si="98"/>
        <v>0</v>
      </c>
      <c r="Q686" s="7">
        <f t="shared" si="98"/>
        <v>0</v>
      </c>
      <c r="R686" s="10">
        <f t="shared" si="98"/>
        <v>273.7930466666666</v>
      </c>
      <c r="S686" s="10">
        <f t="shared" si="98"/>
        <v>109.51721866666665</v>
      </c>
      <c r="T686" s="10">
        <f t="shared" si="98"/>
        <v>54.758609333333325</v>
      </c>
      <c r="U686" s="10">
        <f t="shared" si="98"/>
        <v>54.758609333333325</v>
      </c>
      <c r="V686" s="10">
        <f t="shared" si="98"/>
        <v>54.758609333333325</v>
      </c>
      <c r="W686" s="7">
        <f t="shared" si="98"/>
        <v>0</v>
      </c>
      <c r="X686" s="7">
        <f t="shared" si="98"/>
        <v>0</v>
      </c>
    </row>
    <row r="687" spans="1:24" ht="17.25" customHeight="1" outlineLevel="1">
      <c r="A687" s="161" t="s">
        <v>439</v>
      </c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</row>
    <row r="688" spans="1:25" ht="20.25" customHeight="1" outlineLevel="2">
      <c r="A688" s="170">
        <v>1</v>
      </c>
      <c r="B688" s="162" t="s">
        <v>663</v>
      </c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4">
        <f>U688*2</f>
        <v>0</v>
      </c>
    </row>
    <row r="689" spans="1:25" ht="18" outlineLevel="2">
      <c r="A689" s="170"/>
      <c r="B689" s="5">
        <f>D689+G689+J689</f>
        <v>18</v>
      </c>
      <c r="C689" s="8">
        <f>E689+H689+K689</f>
        <v>70.56</v>
      </c>
      <c r="D689" s="5">
        <v>18</v>
      </c>
      <c r="E689" s="8">
        <f>D689*FORECAST(D689,AA$9:AA$10,Z$9:Z$10)</f>
        <v>70.56</v>
      </c>
      <c r="F689" s="5" t="s">
        <v>433</v>
      </c>
      <c r="G689" s="5"/>
      <c r="H689" s="5"/>
      <c r="I689" s="5"/>
      <c r="J689" s="5"/>
      <c r="K689" s="5"/>
      <c r="L689" s="5"/>
      <c r="M689" s="5">
        <v>300</v>
      </c>
      <c r="N689" s="5">
        <v>650</v>
      </c>
      <c r="O689" s="8">
        <f>C689/0.92</f>
        <v>76.69565217391305</v>
      </c>
      <c r="P689" s="5">
        <v>1</v>
      </c>
      <c r="Q689" s="5">
        <v>160</v>
      </c>
      <c r="R689" s="8">
        <f>1.454*C689</f>
        <v>102.59424</v>
      </c>
      <c r="S689" s="9">
        <f>E689*1.454*0.4</f>
        <v>41.037696000000004</v>
      </c>
      <c r="T689" s="9">
        <f>E689*1.454*0.2</f>
        <v>20.518848000000002</v>
      </c>
      <c r="U689" s="9">
        <f>E689*1.454*0.2</f>
        <v>20.518848000000002</v>
      </c>
      <c r="V689" s="9">
        <f>E689*1.454*0.2</f>
        <v>20.518848000000002</v>
      </c>
      <c r="W689" s="9">
        <f>H689*1.454</f>
        <v>0</v>
      </c>
      <c r="X689" s="9">
        <f>K689*1.454</f>
        <v>0</v>
      </c>
      <c r="Y689" s="4">
        <f>U689*2</f>
        <v>41.037696000000004</v>
      </c>
    </row>
    <row r="690" spans="1:25" ht="12.75" customHeight="1" outlineLevel="2">
      <c r="A690" s="170">
        <v>1</v>
      </c>
      <c r="B690" s="162" t="s">
        <v>44</v>
      </c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4">
        <f aca="true" t="shared" si="99" ref="Y690:Y762">U690*2</f>
        <v>0</v>
      </c>
    </row>
    <row r="691" spans="1:25" ht="18" outlineLevel="2">
      <c r="A691" s="170"/>
      <c r="B691" s="5">
        <f>D691+G691+J691</f>
        <v>32</v>
      </c>
      <c r="C691" s="5">
        <f>E691+H691+K691</f>
        <v>96.16</v>
      </c>
      <c r="D691" s="5">
        <v>32</v>
      </c>
      <c r="E691" s="8">
        <f>D691*FORECAST(D691,AA$11:AA$12,Z$11:Z$12)</f>
        <v>96.16</v>
      </c>
      <c r="F691" s="5" t="s">
        <v>433</v>
      </c>
      <c r="G691" s="5"/>
      <c r="H691" s="5"/>
      <c r="I691" s="5"/>
      <c r="J691" s="5"/>
      <c r="K691" s="5"/>
      <c r="L691" s="5"/>
      <c r="M691" s="5"/>
      <c r="N691" s="5">
        <v>1500</v>
      </c>
      <c r="O691" s="8">
        <f>C691/0.92</f>
        <v>104.52173913043478</v>
      </c>
      <c r="P691" s="5">
        <v>1</v>
      </c>
      <c r="Q691" s="5">
        <v>250</v>
      </c>
      <c r="R691" s="8">
        <f>1.454*C691</f>
        <v>139.81663999999998</v>
      </c>
      <c r="S691" s="9">
        <f>E691*1.454*0.4</f>
        <v>55.926655999999994</v>
      </c>
      <c r="T691" s="9">
        <f>E691*1.454*0.2</f>
        <v>27.963327999999997</v>
      </c>
      <c r="U691" s="9">
        <f>E691*1.454*0.2</f>
        <v>27.963327999999997</v>
      </c>
      <c r="V691" s="9">
        <f>E691*1.454*0.2</f>
        <v>27.963327999999997</v>
      </c>
      <c r="W691" s="9">
        <f>H691*1.454</f>
        <v>0</v>
      </c>
      <c r="X691" s="9">
        <f>K691*1.454</f>
        <v>0</v>
      </c>
      <c r="Y691" s="4">
        <f t="shared" si="99"/>
        <v>55.926655999999994</v>
      </c>
    </row>
    <row r="692" spans="1:25" ht="12.75" customHeight="1" outlineLevel="2">
      <c r="A692" s="170">
        <v>1</v>
      </c>
      <c r="B692" s="162" t="s">
        <v>223</v>
      </c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4">
        <f t="shared" si="99"/>
        <v>0</v>
      </c>
    </row>
    <row r="693" spans="1:25" ht="18" outlineLevel="2">
      <c r="A693" s="170"/>
      <c r="B693" s="5">
        <f>D693+G693+J693</f>
        <v>15</v>
      </c>
      <c r="C693" s="8">
        <f>E693+H693+K693</f>
        <v>65.1</v>
      </c>
      <c r="D693" s="5">
        <v>15</v>
      </c>
      <c r="E693" s="8">
        <f>D693*FORECAST(D693,AA$9:AA$10,Z$9:Z$10)</f>
        <v>65.1</v>
      </c>
      <c r="F693" s="5" t="s">
        <v>433</v>
      </c>
      <c r="G693" s="5"/>
      <c r="H693" s="5"/>
      <c r="I693" s="5"/>
      <c r="J693" s="5"/>
      <c r="K693" s="5"/>
      <c r="L693" s="5"/>
      <c r="M693" s="5">
        <v>800</v>
      </c>
      <c r="N693" s="5">
        <v>1200</v>
      </c>
      <c r="O693" s="8">
        <f>C693/0.92</f>
        <v>70.76086956521738</v>
      </c>
      <c r="P693" s="5">
        <v>1</v>
      </c>
      <c r="Q693" s="5">
        <v>100</v>
      </c>
      <c r="R693" s="8">
        <f>1.454*C693</f>
        <v>94.65539999999999</v>
      </c>
      <c r="S693" s="9">
        <f>E693*1.454*0.4</f>
        <v>37.862159999999996</v>
      </c>
      <c r="T693" s="9">
        <f>E693*1.454*0.2</f>
        <v>18.931079999999998</v>
      </c>
      <c r="U693" s="9">
        <f>E693*1.454*0.2</f>
        <v>18.931079999999998</v>
      </c>
      <c r="V693" s="9">
        <f>E693*1.454*0.2</f>
        <v>18.931079999999998</v>
      </c>
      <c r="W693" s="9">
        <f>H693*1.454</f>
        <v>0</v>
      </c>
      <c r="X693" s="9">
        <f>K693*1.454</f>
        <v>0</v>
      </c>
      <c r="Y693" s="4">
        <f t="shared" si="99"/>
        <v>37.862159999999996</v>
      </c>
    </row>
    <row r="694" spans="1:25" ht="12.75" customHeight="1" outlineLevel="2">
      <c r="A694" s="170">
        <v>1</v>
      </c>
      <c r="B694" s="162" t="s">
        <v>224</v>
      </c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4">
        <f t="shared" si="99"/>
        <v>0</v>
      </c>
    </row>
    <row r="695" spans="1:25" ht="18" outlineLevel="2">
      <c r="A695" s="170"/>
      <c r="B695" s="5">
        <f>D695+G695+J695</f>
        <v>27</v>
      </c>
      <c r="C695" s="8">
        <f>E695+H695+K695</f>
        <v>86.956875</v>
      </c>
      <c r="D695" s="5">
        <v>27</v>
      </c>
      <c r="E695" s="8">
        <f>D695*FORECAST(D695,AA$11:AA$12,Z$11:Z$12)</f>
        <v>86.956875</v>
      </c>
      <c r="F695" s="5" t="s">
        <v>433</v>
      </c>
      <c r="G695" s="5"/>
      <c r="H695" s="5"/>
      <c r="I695" s="5"/>
      <c r="J695" s="5"/>
      <c r="K695" s="5"/>
      <c r="L695" s="5"/>
      <c r="M695" s="5"/>
      <c r="N695" s="5"/>
      <c r="O695" s="8">
        <f>C695/0.92</f>
        <v>94.51834239130434</v>
      </c>
      <c r="P695" s="5"/>
      <c r="Q695" s="5"/>
      <c r="R695" s="8">
        <f>1.454*C695</f>
        <v>126.43529625</v>
      </c>
      <c r="S695" s="9">
        <f>E695*1.454*0.4</f>
        <v>50.5741185</v>
      </c>
      <c r="T695" s="9">
        <f>E695*1.454*0.2</f>
        <v>25.28705925</v>
      </c>
      <c r="U695" s="9">
        <f>E695*1.454*0.2</f>
        <v>25.28705925</v>
      </c>
      <c r="V695" s="9">
        <f>E695*1.454*0.2</f>
        <v>25.28705925</v>
      </c>
      <c r="W695" s="9">
        <f>H695*1.454</f>
        <v>0</v>
      </c>
      <c r="X695" s="9">
        <f>K695*1.454</f>
        <v>0</v>
      </c>
      <c r="Y695" s="4">
        <f t="shared" si="99"/>
        <v>50.5741185</v>
      </c>
    </row>
    <row r="696" spans="1:25" ht="36" outlineLevel="1">
      <c r="A696" s="6" t="s">
        <v>456</v>
      </c>
      <c r="B696" s="6">
        <f>B689+B691+B693+B695</f>
        <v>92</v>
      </c>
      <c r="C696" s="19">
        <f aca="true" t="shared" si="100" ref="C696:X696">C689+C691+C693+C695</f>
        <v>318.776875</v>
      </c>
      <c r="D696" s="6">
        <f t="shared" si="100"/>
        <v>92</v>
      </c>
      <c r="E696" s="19">
        <f t="shared" si="100"/>
        <v>318.776875</v>
      </c>
      <c r="F696" s="6" t="s">
        <v>433</v>
      </c>
      <c r="G696" s="6">
        <f t="shared" si="100"/>
        <v>0</v>
      </c>
      <c r="H696" s="6">
        <f t="shared" si="100"/>
        <v>0</v>
      </c>
      <c r="I696" s="6">
        <f t="shared" si="100"/>
        <v>0</v>
      </c>
      <c r="J696" s="6">
        <f t="shared" si="100"/>
        <v>0</v>
      </c>
      <c r="K696" s="6">
        <f t="shared" si="100"/>
        <v>0</v>
      </c>
      <c r="L696" s="6">
        <f t="shared" si="100"/>
        <v>0</v>
      </c>
      <c r="M696" s="6">
        <f t="shared" si="100"/>
        <v>1100</v>
      </c>
      <c r="N696" s="6">
        <f t="shared" si="100"/>
        <v>3350</v>
      </c>
      <c r="O696" s="6">
        <f t="shared" si="100"/>
        <v>346.4966032608695</v>
      </c>
      <c r="P696" s="6">
        <f t="shared" si="100"/>
        <v>3</v>
      </c>
      <c r="Q696" s="6">
        <f t="shared" si="100"/>
        <v>510</v>
      </c>
      <c r="R696" s="19">
        <f t="shared" si="100"/>
        <v>463.50157624999997</v>
      </c>
      <c r="S696" s="19">
        <f t="shared" si="100"/>
        <v>185.40063049999998</v>
      </c>
      <c r="T696" s="19">
        <f t="shared" si="100"/>
        <v>92.70031524999999</v>
      </c>
      <c r="U696" s="19">
        <f t="shared" si="100"/>
        <v>92.70031524999999</v>
      </c>
      <c r="V696" s="19">
        <f t="shared" si="100"/>
        <v>92.70031524999999</v>
      </c>
      <c r="W696" s="6">
        <f t="shared" si="100"/>
        <v>0</v>
      </c>
      <c r="X696" s="6">
        <f t="shared" si="100"/>
        <v>0</v>
      </c>
      <c r="Y696" s="4">
        <f t="shared" si="99"/>
        <v>185.40063049999998</v>
      </c>
    </row>
    <row r="697" spans="1:25" ht="12.75" customHeight="1" outlineLevel="1">
      <c r="A697" s="161" t="s">
        <v>440</v>
      </c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4">
        <f t="shared" si="99"/>
        <v>0</v>
      </c>
    </row>
    <row r="698" spans="1:25" ht="17.25" customHeight="1" outlineLevel="2">
      <c r="A698" s="170">
        <v>1</v>
      </c>
      <c r="B698" s="162" t="s">
        <v>664</v>
      </c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4">
        <f t="shared" si="99"/>
        <v>0</v>
      </c>
    </row>
    <row r="699" spans="1:25" ht="18" outlineLevel="2">
      <c r="A699" s="170"/>
      <c r="B699" s="5">
        <f>D699+G699+J699</f>
        <v>25</v>
      </c>
      <c r="C699" s="8">
        <f>E699+H699+K699</f>
        <v>82.671875</v>
      </c>
      <c r="D699" s="5">
        <v>25</v>
      </c>
      <c r="E699" s="8">
        <f>D699*FORECAST(D699,AA$11:AA$12,Z$11:Z$12)</f>
        <v>82.671875</v>
      </c>
      <c r="F699" s="5" t="s">
        <v>433</v>
      </c>
      <c r="G699" s="6"/>
      <c r="H699" s="6"/>
      <c r="I699" s="6"/>
      <c r="J699" s="6"/>
      <c r="K699" s="6"/>
      <c r="L699" s="6"/>
      <c r="M699" s="15"/>
      <c r="N699" s="15">
        <v>500</v>
      </c>
      <c r="O699" s="8">
        <f>C699/0.92</f>
        <v>89.86073369565217</v>
      </c>
      <c r="P699" s="15">
        <v>1</v>
      </c>
      <c r="Q699" s="15">
        <v>250</v>
      </c>
      <c r="R699" s="8">
        <f>1.454*C699</f>
        <v>120.20490625</v>
      </c>
      <c r="S699" s="9">
        <f>E699*1.454*0.4</f>
        <v>48.0819625</v>
      </c>
      <c r="T699" s="9">
        <f>E699*1.454*0.2</f>
        <v>24.04098125</v>
      </c>
      <c r="U699" s="9">
        <f>E699*1.454*0.2</f>
        <v>24.04098125</v>
      </c>
      <c r="V699" s="9">
        <f>E699*1.454*0.2</f>
        <v>24.04098125</v>
      </c>
      <c r="W699" s="9">
        <f>H699*1.454</f>
        <v>0</v>
      </c>
      <c r="X699" s="9">
        <f>K699*1.454</f>
        <v>0</v>
      </c>
      <c r="Y699" s="4">
        <f t="shared" si="99"/>
        <v>48.0819625</v>
      </c>
    </row>
    <row r="700" spans="1:25" ht="12.75" customHeight="1" outlineLevel="2">
      <c r="A700" s="170">
        <v>2</v>
      </c>
      <c r="B700" s="162" t="s">
        <v>665</v>
      </c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4">
        <f t="shared" si="99"/>
        <v>0</v>
      </c>
    </row>
    <row r="701" spans="1:25" ht="18" outlineLevel="2">
      <c r="A701" s="170"/>
      <c r="B701" s="5">
        <f>D701+G701+J701</f>
        <v>11</v>
      </c>
      <c r="C701" s="8">
        <f>E701+H701+K701</f>
        <v>57.67666666666668</v>
      </c>
      <c r="D701" s="5">
        <v>11</v>
      </c>
      <c r="E701" s="8">
        <f>D701*FORECAST(D701,AA$7:AA$8,Z$7:Z$8)</f>
        <v>57.67666666666668</v>
      </c>
      <c r="F701" s="5" t="s">
        <v>433</v>
      </c>
      <c r="G701" s="5"/>
      <c r="H701" s="5"/>
      <c r="I701" s="5"/>
      <c r="J701" s="5"/>
      <c r="K701" s="5"/>
      <c r="L701" s="5"/>
      <c r="M701" s="5"/>
      <c r="N701" s="5">
        <v>500</v>
      </c>
      <c r="O701" s="8">
        <f>C701/0.92</f>
        <v>62.69202898550726</v>
      </c>
      <c r="P701" s="5"/>
      <c r="Q701" s="5"/>
      <c r="R701" s="8">
        <f>1.454*C701</f>
        <v>83.86187333333335</v>
      </c>
      <c r="S701" s="9">
        <f>E701*1.454*0.4</f>
        <v>33.54474933333334</v>
      </c>
      <c r="T701" s="9">
        <f>E701*1.454*0.2</f>
        <v>16.77237466666667</v>
      </c>
      <c r="U701" s="9">
        <f>E701*1.454*0.2</f>
        <v>16.77237466666667</v>
      </c>
      <c r="V701" s="9">
        <f>E701*1.454*0.2</f>
        <v>16.77237466666667</v>
      </c>
      <c r="W701" s="9">
        <f>H701*1.454</f>
        <v>0</v>
      </c>
      <c r="X701" s="9">
        <f>K701*1.454</f>
        <v>0</v>
      </c>
      <c r="Y701" s="4">
        <f t="shared" si="99"/>
        <v>33.54474933333334</v>
      </c>
    </row>
    <row r="702" spans="1:25" ht="36" outlineLevel="2">
      <c r="A702" s="6" t="s">
        <v>431</v>
      </c>
      <c r="B702" s="6">
        <f>B699+B701</f>
        <v>36</v>
      </c>
      <c r="C702" s="19">
        <f>C699+C701</f>
        <v>140.34854166666668</v>
      </c>
      <c r="D702" s="6">
        <f>D699+D701</f>
        <v>36</v>
      </c>
      <c r="E702" s="19">
        <f>E699+E701</f>
        <v>140.34854166666668</v>
      </c>
      <c r="F702" s="7" t="s">
        <v>433</v>
      </c>
      <c r="G702" s="6">
        <f>G699+G701</f>
        <v>0</v>
      </c>
      <c r="H702" s="6">
        <f>H699+H701</f>
        <v>0</v>
      </c>
      <c r="I702" s="7" t="s">
        <v>441</v>
      </c>
      <c r="J702" s="6">
        <f>J699+J701</f>
        <v>0</v>
      </c>
      <c r="K702" s="6">
        <f>K699+K701</f>
        <v>0</v>
      </c>
      <c r="L702" s="7" t="s">
        <v>441</v>
      </c>
      <c r="M702" s="6">
        <f aca="true" t="shared" si="101" ref="M702:X702">M699+M701</f>
        <v>0</v>
      </c>
      <c r="N702" s="6">
        <f t="shared" si="101"/>
        <v>1000</v>
      </c>
      <c r="O702" s="19">
        <f t="shared" si="101"/>
        <v>152.55276268115944</v>
      </c>
      <c r="P702" s="6">
        <f t="shared" si="101"/>
        <v>1</v>
      </c>
      <c r="Q702" s="6">
        <f t="shared" si="101"/>
        <v>250</v>
      </c>
      <c r="R702" s="19">
        <f t="shared" si="101"/>
        <v>204.06677958333336</v>
      </c>
      <c r="S702" s="19">
        <f t="shared" si="101"/>
        <v>81.62671183333335</v>
      </c>
      <c r="T702" s="19">
        <f t="shared" si="101"/>
        <v>40.81335591666667</v>
      </c>
      <c r="U702" s="19">
        <f t="shared" si="101"/>
        <v>40.81335591666667</v>
      </c>
      <c r="V702" s="19">
        <f t="shared" si="101"/>
        <v>40.81335591666667</v>
      </c>
      <c r="W702" s="19">
        <f t="shared" si="101"/>
        <v>0</v>
      </c>
      <c r="X702" s="19">
        <f t="shared" si="101"/>
        <v>0</v>
      </c>
      <c r="Y702" s="4">
        <f t="shared" si="99"/>
        <v>81.62671183333335</v>
      </c>
    </row>
    <row r="703" spans="1:25" ht="12.75" customHeight="1" outlineLevel="2">
      <c r="A703" s="170">
        <v>1</v>
      </c>
      <c r="B703" s="162" t="s">
        <v>225</v>
      </c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4">
        <f t="shared" si="99"/>
        <v>0</v>
      </c>
    </row>
    <row r="704" spans="1:25" ht="18" outlineLevel="2">
      <c r="A704" s="170"/>
      <c r="B704" s="5">
        <f>D704+G704+J704</f>
        <v>36</v>
      </c>
      <c r="C704" s="8">
        <f>E704+H704+K704</f>
        <v>101.97</v>
      </c>
      <c r="D704" s="5">
        <v>36</v>
      </c>
      <c r="E704" s="8">
        <f>D704*FORECAST(D704,AA$11:AA$12,Z$11:Z$12)</f>
        <v>101.97</v>
      </c>
      <c r="F704" s="5" t="s">
        <v>433</v>
      </c>
      <c r="G704" s="6"/>
      <c r="H704" s="6"/>
      <c r="I704" s="6"/>
      <c r="J704" s="6"/>
      <c r="K704" s="6"/>
      <c r="L704" s="15"/>
      <c r="M704" s="15">
        <f>400</f>
        <v>400</v>
      </c>
      <c r="N704" s="15">
        <f>600</f>
        <v>600</v>
      </c>
      <c r="O704" s="8">
        <f>C704/0.92</f>
        <v>110.83695652173913</v>
      </c>
      <c r="P704" s="15">
        <v>1</v>
      </c>
      <c r="Q704" s="15">
        <v>250</v>
      </c>
      <c r="R704" s="8">
        <f>1.454*C704</f>
        <v>148.26438</v>
      </c>
      <c r="S704" s="9">
        <f>E704*1.454*0.4</f>
        <v>59.305752</v>
      </c>
      <c r="T704" s="9">
        <f>E704*1.454*0.2</f>
        <v>29.652876</v>
      </c>
      <c r="U704" s="9">
        <f>E704*1.454*0.2</f>
        <v>29.652876</v>
      </c>
      <c r="V704" s="9">
        <f>E704*1.454*0.2</f>
        <v>29.652876</v>
      </c>
      <c r="W704" s="9">
        <f>H704*1.454</f>
        <v>0</v>
      </c>
      <c r="X704" s="9">
        <f>K704*1.454</f>
        <v>0</v>
      </c>
      <c r="Y704" s="4">
        <f t="shared" si="99"/>
        <v>59.305752</v>
      </c>
    </row>
    <row r="705" spans="1:25" ht="36" outlineLevel="1">
      <c r="A705" s="6" t="s">
        <v>450</v>
      </c>
      <c r="B705" s="6">
        <f>SUM(B702,B704)</f>
        <v>72</v>
      </c>
      <c r="C705" s="19">
        <f>SUM(C702,C704)</f>
        <v>242.31854166666668</v>
      </c>
      <c r="D705" s="6">
        <f>SUM(D702,D704)</f>
        <v>72</v>
      </c>
      <c r="E705" s="19">
        <f>SUM(E702,E704)</f>
        <v>242.31854166666668</v>
      </c>
      <c r="F705" s="7" t="s">
        <v>433</v>
      </c>
      <c r="G705" s="6">
        <f>SUM(G702,G704)</f>
        <v>0</v>
      </c>
      <c r="H705" s="6">
        <f>SUM(H702,H704)</f>
        <v>0</v>
      </c>
      <c r="I705" s="7" t="s">
        <v>441</v>
      </c>
      <c r="J705" s="6">
        <f>SUM(J702,J704)</f>
        <v>0</v>
      </c>
      <c r="K705" s="6">
        <f>SUM(K702,K704)</f>
        <v>0</v>
      </c>
      <c r="L705" s="7" t="s">
        <v>441</v>
      </c>
      <c r="M705" s="6">
        <f aca="true" t="shared" si="102" ref="M705:R705">SUM(M702,M704)</f>
        <v>400</v>
      </c>
      <c r="N705" s="6">
        <f t="shared" si="102"/>
        <v>1600</v>
      </c>
      <c r="O705" s="19">
        <f t="shared" si="102"/>
        <v>263.38971920289856</v>
      </c>
      <c r="P705" s="6">
        <f t="shared" si="102"/>
        <v>2</v>
      </c>
      <c r="Q705" s="6">
        <f t="shared" si="102"/>
        <v>500</v>
      </c>
      <c r="R705" s="19">
        <f t="shared" si="102"/>
        <v>352.3311595833334</v>
      </c>
      <c r="S705" s="19">
        <f aca="true" t="shared" si="103" ref="S705:X705">SUM(S702,S704)</f>
        <v>140.93246383333334</v>
      </c>
      <c r="T705" s="19">
        <f t="shared" si="103"/>
        <v>70.46623191666667</v>
      </c>
      <c r="U705" s="19">
        <f t="shared" si="103"/>
        <v>70.46623191666667</v>
      </c>
      <c r="V705" s="19">
        <f t="shared" si="103"/>
        <v>70.46623191666667</v>
      </c>
      <c r="W705" s="19">
        <f t="shared" si="103"/>
        <v>0</v>
      </c>
      <c r="X705" s="19">
        <f t="shared" si="103"/>
        <v>0</v>
      </c>
      <c r="Y705" s="4">
        <f t="shared" si="99"/>
        <v>140.93246383333334</v>
      </c>
    </row>
    <row r="706" spans="1:25" ht="108">
      <c r="A706" s="6" t="s">
        <v>732</v>
      </c>
      <c r="B706" s="6">
        <f>SUM(B696,B705,B686,B677)</f>
        <v>371</v>
      </c>
      <c r="C706" s="19">
        <f>SUM(C696,C705,C686,C677)</f>
        <v>1349.055625</v>
      </c>
      <c r="D706" s="6">
        <f>SUM(D696,D705,D686,D677)</f>
        <v>371</v>
      </c>
      <c r="E706" s="19">
        <f>SUM(E696,E705,E686,E677)</f>
        <v>1349.055625</v>
      </c>
      <c r="F706" s="6" t="s">
        <v>433</v>
      </c>
      <c r="G706" s="6">
        <f>SUM(G696,G705,G686,G677)</f>
        <v>0</v>
      </c>
      <c r="H706" s="6">
        <f>SUM(H696,H705,H686,H677)</f>
        <v>0</v>
      </c>
      <c r="I706" s="6" t="s">
        <v>698</v>
      </c>
      <c r="J706" s="6">
        <f>SUM(J696,J705,J686,J677)</f>
        <v>0</v>
      </c>
      <c r="K706" s="6">
        <f>SUM(K696,K705,K686,K677)</f>
        <v>0</v>
      </c>
      <c r="L706" s="6" t="s">
        <v>698</v>
      </c>
      <c r="M706" s="6">
        <f aca="true" t="shared" si="104" ref="M706:X706">SUM(M696,M705,M686,M677)</f>
        <v>5100</v>
      </c>
      <c r="N706" s="6">
        <f t="shared" si="104"/>
        <v>12200</v>
      </c>
      <c r="O706" s="19">
        <f t="shared" si="104"/>
        <v>1463.103940217391</v>
      </c>
      <c r="P706" s="6">
        <f t="shared" si="104"/>
        <v>9</v>
      </c>
      <c r="Q706" s="6">
        <f t="shared" si="104"/>
        <v>1830</v>
      </c>
      <c r="R706" s="19">
        <f t="shared" si="104"/>
        <v>1967.16487875</v>
      </c>
      <c r="S706" s="19">
        <f t="shared" si="104"/>
        <v>786.8659514999999</v>
      </c>
      <c r="T706" s="19">
        <f t="shared" si="104"/>
        <v>393.43297574999997</v>
      </c>
      <c r="U706" s="19">
        <f t="shared" si="104"/>
        <v>393.43297574999997</v>
      </c>
      <c r="V706" s="19">
        <f t="shared" si="104"/>
        <v>393.43297574999997</v>
      </c>
      <c r="W706" s="6">
        <f t="shared" si="104"/>
        <v>0</v>
      </c>
      <c r="X706" s="6">
        <f t="shared" si="104"/>
        <v>0</v>
      </c>
      <c r="Y706" s="4">
        <f t="shared" si="99"/>
        <v>786.8659514999999</v>
      </c>
    </row>
    <row r="707" spans="1:25" ht="18">
      <c r="A707" s="149" t="s">
        <v>448</v>
      </c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4">
        <f t="shared" si="99"/>
        <v>0</v>
      </c>
    </row>
    <row r="708" spans="1:25" ht="18.75" outlineLevel="1">
      <c r="A708" s="13">
        <v>1</v>
      </c>
      <c r="B708" s="13">
        <v>2</v>
      </c>
      <c r="C708" s="13">
        <v>3</v>
      </c>
      <c r="D708" s="13">
        <v>4</v>
      </c>
      <c r="E708" s="13">
        <v>5</v>
      </c>
      <c r="F708" s="13">
        <v>6</v>
      </c>
      <c r="G708" s="13">
        <v>7</v>
      </c>
      <c r="H708" s="13">
        <v>8</v>
      </c>
      <c r="I708" s="13">
        <v>9</v>
      </c>
      <c r="J708" s="13">
        <v>10</v>
      </c>
      <c r="K708" s="13">
        <v>11</v>
      </c>
      <c r="L708" s="13">
        <v>12</v>
      </c>
      <c r="M708" s="13">
        <v>13</v>
      </c>
      <c r="N708" s="13">
        <v>14</v>
      </c>
      <c r="O708" s="13">
        <v>15</v>
      </c>
      <c r="P708" s="13">
        <v>16</v>
      </c>
      <c r="Q708" s="13">
        <v>17</v>
      </c>
      <c r="R708" s="13">
        <v>18</v>
      </c>
      <c r="S708" s="89">
        <v>19</v>
      </c>
      <c r="T708" s="14">
        <v>20</v>
      </c>
      <c r="U708" s="14">
        <v>21</v>
      </c>
      <c r="V708" s="14">
        <v>22</v>
      </c>
      <c r="W708" s="14">
        <v>23</v>
      </c>
      <c r="X708" s="14">
        <v>24</v>
      </c>
      <c r="Y708" s="4">
        <f t="shared" si="99"/>
        <v>42</v>
      </c>
    </row>
    <row r="709" spans="1:25" ht="18" outlineLevel="1">
      <c r="A709" s="171" t="s">
        <v>430</v>
      </c>
      <c r="B709" s="171"/>
      <c r="C709" s="171"/>
      <c r="D709" s="171"/>
      <c r="E709" s="171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4">
        <f t="shared" si="99"/>
        <v>0</v>
      </c>
    </row>
    <row r="710" spans="1:25" ht="22.5" customHeight="1" outlineLevel="1">
      <c r="A710" s="172">
        <v>1</v>
      </c>
      <c r="B710" s="168" t="s">
        <v>666</v>
      </c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4">
        <f t="shared" si="99"/>
        <v>0</v>
      </c>
    </row>
    <row r="711" spans="1:25" ht="18" outlineLevel="1">
      <c r="A711" s="172"/>
      <c r="B711" s="26">
        <f>D711+G711+J711</f>
        <v>30</v>
      </c>
      <c r="C711" s="27">
        <f>E711+H711+K711</f>
        <v>92.73749999999998</v>
      </c>
      <c r="D711" s="26">
        <v>30</v>
      </c>
      <c r="E711" s="8">
        <f>D711*FORECAST(D711,AA$11:AA$12,Z$11:Z$12)</f>
        <v>92.73749999999998</v>
      </c>
      <c r="F711" s="26" t="s">
        <v>433</v>
      </c>
      <c r="G711" s="26"/>
      <c r="H711" s="26"/>
      <c r="I711" s="26"/>
      <c r="J711" s="26"/>
      <c r="K711" s="26"/>
      <c r="L711" s="26"/>
      <c r="M711" s="26"/>
      <c r="N711" s="26">
        <v>850</v>
      </c>
      <c r="O711" s="8">
        <f>C711/0.92</f>
        <v>100.80163043478258</v>
      </c>
      <c r="P711" s="26">
        <v>1</v>
      </c>
      <c r="Q711" s="26">
        <v>100</v>
      </c>
      <c r="R711" s="8">
        <f>1.454*C711</f>
        <v>134.84032499999998</v>
      </c>
      <c r="S711" s="9">
        <f>E711*1.454*0.4</f>
        <v>53.93612999999999</v>
      </c>
      <c r="T711" s="9">
        <f>E711*1.454*0.2</f>
        <v>26.968064999999996</v>
      </c>
      <c r="U711" s="9">
        <f>E711*1.454*0.2</f>
        <v>26.968064999999996</v>
      </c>
      <c r="V711" s="9">
        <f>E711*1.454*0.2</f>
        <v>26.968064999999996</v>
      </c>
      <c r="W711" s="9">
        <f>H711*1.454</f>
        <v>0</v>
      </c>
      <c r="X711" s="9">
        <f>K711*1.454</f>
        <v>0</v>
      </c>
      <c r="Y711" s="4">
        <f t="shared" si="99"/>
        <v>53.93612999999999</v>
      </c>
    </row>
    <row r="712" spans="1:24" s="59" customFormat="1" ht="20.25" customHeight="1">
      <c r="A712" s="168" t="s">
        <v>710</v>
      </c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</row>
    <row r="713" spans="1:24" s="59" customFormat="1" ht="17.25" customHeight="1">
      <c r="A713" s="26">
        <v>1</v>
      </c>
      <c r="B713" s="26">
        <v>9</v>
      </c>
      <c r="C713" s="26">
        <v>45</v>
      </c>
      <c r="D713" s="26">
        <v>9</v>
      </c>
      <c r="E713" s="26">
        <v>45</v>
      </c>
      <c r="F713" s="26" t="s">
        <v>433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 t="s">
        <v>698</v>
      </c>
      <c r="M713" s="26">
        <v>0</v>
      </c>
      <c r="N713" s="26">
        <v>100</v>
      </c>
      <c r="O713" s="26">
        <v>100</v>
      </c>
      <c r="P713" s="26">
        <v>1</v>
      </c>
      <c r="Q713" s="26">
        <v>100</v>
      </c>
      <c r="R713" s="26">
        <v>134.8</v>
      </c>
      <c r="S713" s="26">
        <f>0.4*R713</f>
        <v>53.92000000000001</v>
      </c>
      <c r="T713" s="26">
        <f>0.2*R713</f>
        <v>26.960000000000004</v>
      </c>
      <c r="U713" s="26">
        <f>0.2*R713</f>
        <v>26.960000000000004</v>
      </c>
      <c r="V713" s="26">
        <f>0.2*R713</f>
        <v>26.960000000000004</v>
      </c>
      <c r="W713" s="27">
        <v>0</v>
      </c>
      <c r="X713" s="27">
        <v>0</v>
      </c>
    </row>
    <row r="714" spans="1:24" ht="18" customHeight="1" outlineLevel="1">
      <c r="A714" s="168" t="s">
        <v>711</v>
      </c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</row>
    <row r="715" spans="1:24" ht="18" outlineLevel="1">
      <c r="A715" s="29">
        <v>1</v>
      </c>
      <c r="B715" s="8">
        <v>41</v>
      </c>
      <c r="C715" s="8">
        <v>225</v>
      </c>
      <c r="D715" s="8">
        <v>40</v>
      </c>
      <c r="E715" s="8">
        <v>200</v>
      </c>
      <c r="F715" s="8" t="s">
        <v>453</v>
      </c>
      <c r="G715" s="29">
        <v>0</v>
      </c>
      <c r="H715" s="29">
        <v>0</v>
      </c>
      <c r="I715" s="29">
        <v>0</v>
      </c>
      <c r="J715" s="29">
        <v>1</v>
      </c>
      <c r="K715" s="8">
        <v>25</v>
      </c>
      <c r="L715" s="8" t="s">
        <v>453</v>
      </c>
      <c r="M715" s="8">
        <v>0</v>
      </c>
      <c r="N715" s="8">
        <v>650</v>
      </c>
      <c r="O715" s="8">
        <v>250</v>
      </c>
      <c r="P715" s="29">
        <v>1</v>
      </c>
      <c r="Q715" s="8">
        <v>260</v>
      </c>
      <c r="R715" s="8">
        <v>225</v>
      </c>
      <c r="S715" s="8">
        <f>0.4*190</f>
        <v>76</v>
      </c>
      <c r="T715" s="8">
        <f>0.2*190</f>
        <v>38</v>
      </c>
      <c r="U715" s="8">
        <f>0.2*190</f>
        <v>38</v>
      </c>
      <c r="V715" s="8">
        <f>0.2*190</f>
        <v>38</v>
      </c>
      <c r="W715" s="8">
        <v>0</v>
      </c>
      <c r="X715" s="8">
        <v>35</v>
      </c>
    </row>
    <row r="716" spans="1:25" ht="22.5" customHeight="1" outlineLevel="1">
      <c r="A716" s="172">
        <v>1</v>
      </c>
      <c r="B716" s="168" t="s">
        <v>668</v>
      </c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4">
        <f t="shared" si="99"/>
        <v>0</v>
      </c>
    </row>
    <row r="717" spans="1:25" ht="23.25" customHeight="1" outlineLevel="1">
      <c r="A717" s="172"/>
      <c r="B717" s="26">
        <f>D717+G717+J717</f>
        <v>30</v>
      </c>
      <c r="C717" s="27">
        <f>E717+H717+K717</f>
        <v>92.73749999999998</v>
      </c>
      <c r="D717" s="26">
        <v>30</v>
      </c>
      <c r="E717" s="8">
        <f>D717*FORECAST(D717,AA$11:AA$12,Z$11:Z$12)</f>
        <v>92.73749999999998</v>
      </c>
      <c r="F717" s="26" t="s">
        <v>433</v>
      </c>
      <c r="G717" s="26"/>
      <c r="H717" s="26"/>
      <c r="I717" s="26"/>
      <c r="J717" s="26"/>
      <c r="K717" s="26"/>
      <c r="L717" s="26"/>
      <c r="M717" s="26"/>
      <c r="N717" s="26">
        <v>850</v>
      </c>
      <c r="O717" s="8">
        <f>C717/0.92</f>
        <v>100.80163043478258</v>
      </c>
      <c r="P717" s="26">
        <v>1</v>
      </c>
      <c r="Q717" s="26">
        <v>100</v>
      </c>
      <c r="R717" s="8">
        <f>1.454*C717</f>
        <v>134.84032499999998</v>
      </c>
      <c r="S717" s="9">
        <f>E717*1.454*0.4</f>
        <v>53.93612999999999</v>
      </c>
      <c r="T717" s="9">
        <f>E717*1.454*0.2</f>
        <v>26.968064999999996</v>
      </c>
      <c r="U717" s="9">
        <f>E717*1.454*0.2</f>
        <v>26.968064999999996</v>
      </c>
      <c r="V717" s="9">
        <f>E717*1.454*0.2</f>
        <v>26.968064999999996</v>
      </c>
      <c r="W717" s="9">
        <f>H717*1.454</f>
        <v>0</v>
      </c>
      <c r="X717" s="9">
        <f>K717*1.454</f>
        <v>0</v>
      </c>
      <c r="Y717" s="4">
        <f t="shared" si="99"/>
        <v>53.93612999999999</v>
      </c>
    </row>
    <row r="718" spans="1:24" ht="39.75" customHeight="1" outlineLevel="1">
      <c r="A718" s="26" t="s">
        <v>437</v>
      </c>
      <c r="B718" s="27">
        <f>B711+B713+B715+B717</f>
        <v>110</v>
      </c>
      <c r="C718" s="27">
        <f aca="true" t="shared" si="105" ref="C718:X718">C711+C713+C715+C717</f>
        <v>455.4749999999999</v>
      </c>
      <c r="D718" s="27">
        <f t="shared" si="105"/>
        <v>109</v>
      </c>
      <c r="E718" s="27">
        <f t="shared" si="105"/>
        <v>430.4749999999999</v>
      </c>
      <c r="F718" s="27" t="s">
        <v>433</v>
      </c>
      <c r="G718" s="68">
        <f t="shared" si="105"/>
        <v>0</v>
      </c>
      <c r="H718" s="68">
        <f t="shared" si="105"/>
        <v>0</v>
      </c>
      <c r="I718" s="68">
        <f t="shared" si="105"/>
        <v>0</v>
      </c>
      <c r="J718" s="68">
        <f t="shared" si="105"/>
        <v>1</v>
      </c>
      <c r="K718" s="27">
        <f t="shared" si="105"/>
        <v>25</v>
      </c>
      <c r="L718" s="27" t="s">
        <v>433</v>
      </c>
      <c r="M718" s="27">
        <f t="shared" si="105"/>
        <v>0</v>
      </c>
      <c r="N718" s="27">
        <f t="shared" si="105"/>
        <v>2450</v>
      </c>
      <c r="O718" s="27">
        <f t="shared" si="105"/>
        <v>551.6032608695651</v>
      </c>
      <c r="P718" s="27">
        <f t="shared" si="105"/>
        <v>4</v>
      </c>
      <c r="Q718" s="27">
        <f t="shared" si="105"/>
        <v>560</v>
      </c>
      <c r="R718" s="27">
        <f t="shared" si="105"/>
        <v>629.48065</v>
      </c>
      <c r="S718" s="27">
        <f t="shared" si="105"/>
        <v>237.79226</v>
      </c>
      <c r="T718" s="27">
        <f t="shared" si="105"/>
        <v>118.89613</v>
      </c>
      <c r="U718" s="27">
        <f t="shared" si="105"/>
        <v>118.89613</v>
      </c>
      <c r="V718" s="27">
        <f t="shared" si="105"/>
        <v>118.89613</v>
      </c>
      <c r="W718" s="27">
        <f t="shared" si="105"/>
        <v>0</v>
      </c>
      <c r="X718" s="27">
        <f t="shared" si="105"/>
        <v>35</v>
      </c>
    </row>
    <row r="719" spans="1:25" ht="18" outlineLevel="1">
      <c r="A719" s="171" t="s">
        <v>432</v>
      </c>
      <c r="B719" s="171"/>
      <c r="C719" s="171"/>
      <c r="D719" s="171"/>
      <c r="E719" s="171"/>
      <c r="F719" s="171"/>
      <c r="G719" s="171"/>
      <c r="H719" s="171"/>
      <c r="I719" s="171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4">
        <f t="shared" si="99"/>
        <v>0</v>
      </c>
    </row>
    <row r="720" spans="1:25" ht="21.75" customHeight="1" outlineLevel="1">
      <c r="A720" s="172">
        <v>1</v>
      </c>
      <c r="B720" s="168" t="s">
        <v>45</v>
      </c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4">
        <f t="shared" si="99"/>
        <v>0</v>
      </c>
    </row>
    <row r="721" spans="1:25" ht="18" outlineLevel="1">
      <c r="A721" s="172"/>
      <c r="B721" s="26">
        <f>D721+G721+J721</f>
        <v>30</v>
      </c>
      <c r="C721" s="27">
        <f>E721+H721+K721</f>
        <v>92.73749999999998</v>
      </c>
      <c r="D721" s="26">
        <v>30</v>
      </c>
      <c r="E721" s="8">
        <f>D721*FORECAST(D721,AA$11:AA$12,Z$11:Z$12)</f>
        <v>92.73749999999998</v>
      </c>
      <c r="F721" s="26" t="s">
        <v>433</v>
      </c>
      <c r="G721" s="26"/>
      <c r="H721" s="26"/>
      <c r="I721" s="26"/>
      <c r="J721" s="26"/>
      <c r="K721" s="26"/>
      <c r="L721" s="26"/>
      <c r="M721" s="26"/>
      <c r="N721" s="26">
        <v>850</v>
      </c>
      <c r="O721" s="8">
        <f>C721/0.92</f>
        <v>100.80163043478258</v>
      </c>
      <c r="P721" s="26">
        <v>1</v>
      </c>
      <c r="Q721" s="26">
        <v>100</v>
      </c>
      <c r="R721" s="8">
        <f>1.454*C721</f>
        <v>134.84032499999998</v>
      </c>
      <c r="S721" s="67">
        <f>E721*1.454*0.4</f>
        <v>53.93612999999999</v>
      </c>
      <c r="T721" s="67">
        <f>E721*1.454*0.2</f>
        <v>26.968064999999996</v>
      </c>
      <c r="U721" s="67">
        <f>E721*1.454*0.2</f>
        <v>26.968064999999996</v>
      </c>
      <c r="V721" s="67">
        <f>E721*1.454*0.2</f>
        <v>26.968064999999996</v>
      </c>
      <c r="W721" s="9">
        <f>H721*1.454</f>
        <v>0</v>
      </c>
      <c r="X721" s="9">
        <f>K721*1.454</f>
        <v>0</v>
      </c>
      <c r="Y721" s="4">
        <f t="shared" si="99"/>
        <v>53.93612999999999</v>
      </c>
    </row>
    <row r="722" spans="1:24" ht="18" customHeight="1" outlineLevel="1">
      <c r="A722" s="172">
        <v>1</v>
      </c>
      <c r="B722" s="168" t="s">
        <v>712</v>
      </c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</row>
    <row r="723" spans="1:24" ht="18" outlineLevel="1">
      <c r="A723" s="172"/>
      <c r="B723" s="26">
        <v>2</v>
      </c>
      <c r="C723" s="26">
        <v>10</v>
      </c>
      <c r="D723" s="26">
        <v>2</v>
      </c>
      <c r="E723" s="26">
        <v>10</v>
      </c>
      <c r="F723" s="26" t="s">
        <v>453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100</v>
      </c>
      <c r="O723" s="26">
        <v>100</v>
      </c>
      <c r="P723" s="26">
        <v>1</v>
      </c>
      <c r="Q723" s="26">
        <v>100</v>
      </c>
      <c r="R723" s="26">
        <v>134.8</v>
      </c>
      <c r="S723" s="26">
        <f>0.4*R723</f>
        <v>53.92000000000001</v>
      </c>
      <c r="T723" s="26">
        <f>0.2*R723</f>
        <v>26.960000000000004</v>
      </c>
      <c r="U723" s="26">
        <v>26.96</v>
      </c>
      <c r="V723" s="26">
        <v>26.96</v>
      </c>
      <c r="W723" s="27">
        <v>0</v>
      </c>
      <c r="X723" s="27">
        <v>0</v>
      </c>
    </row>
    <row r="724" spans="1:24" ht="36" outlineLevel="1">
      <c r="A724" s="26" t="s">
        <v>438</v>
      </c>
      <c r="B724" s="26">
        <f>B721+B723</f>
        <v>32</v>
      </c>
      <c r="C724" s="27">
        <f aca="true" t="shared" si="106" ref="C724:X724">C721+C723</f>
        <v>102.73749999999998</v>
      </c>
      <c r="D724" s="26">
        <f t="shared" si="106"/>
        <v>32</v>
      </c>
      <c r="E724" s="27">
        <f t="shared" si="106"/>
        <v>102.73749999999998</v>
      </c>
      <c r="F724" s="26" t="s">
        <v>433</v>
      </c>
      <c r="G724" s="26">
        <f t="shared" si="106"/>
        <v>0</v>
      </c>
      <c r="H724" s="26">
        <f t="shared" si="106"/>
        <v>0</v>
      </c>
      <c r="I724" s="26">
        <f t="shared" si="106"/>
        <v>0</v>
      </c>
      <c r="J724" s="26">
        <f t="shared" si="106"/>
        <v>0</v>
      </c>
      <c r="K724" s="26">
        <f t="shared" si="106"/>
        <v>0</v>
      </c>
      <c r="L724" s="26">
        <f t="shared" si="106"/>
        <v>0</v>
      </c>
      <c r="M724" s="26">
        <f t="shared" si="106"/>
        <v>0</v>
      </c>
      <c r="N724" s="26">
        <f t="shared" si="106"/>
        <v>950</v>
      </c>
      <c r="O724" s="66">
        <f>O721+O723</f>
        <v>200.80163043478257</v>
      </c>
      <c r="P724" s="26">
        <f t="shared" si="106"/>
        <v>2</v>
      </c>
      <c r="Q724" s="26">
        <f t="shared" si="106"/>
        <v>200</v>
      </c>
      <c r="R724" s="66">
        <f t="shared" si="106"/>
        <v>269.64032499999996</v>
      </c>
      <c r="S724" s="66">
        <f t="shared" si="106"/>
        <v>107.85613000000001</v>
      </c>
      <c r="T724" s="66">
        <f t="shared" si="106"/>
        <v>53.928065000000004</v>
      </c>
      <c r="U724" s="66">
        <f t="shared" si="106"/>
        <v>53.928065</v>
      </c>
      <c r="V724" s="66">
        <f t="shared" si="106"/>
        <v>53.928065</v>
      </c>
      <c r="W724" s="27">
        <f t="shared" si="106"/>
        <v>0</v>
      </c>
      <c r="X724" s="27">
        <f t="shared" si="106"/>
        <v>0</v>
      </c>
    </row>
    <row r="725" spans="1:25" ht="18" outlineLevel="1">
      <c r="A725" s="171" t="s">
        <v>439</v>
      </c>
      <c r="B725" s="171"/>
      <c r="C725" s="171"/>
      <c r="D725" s="171"/>
      <c r="E725" s="171"/>
      <c r="F725" s="171"/>
      <c r="G725" s="171"/>
      <c r="H725" s="171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4">
        <f t="shared" si="99"/>
        <v>0</v>
      </c>
    </row>
    <row r="726" spans="1:24" ht="18.75" outlineLevel="1">
      <c r="A726" s="115">
        <v>1</v>
      </c>
      <c r="B726" s="168" t="s">
        <v>669</v>
      </c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</row>
    <row r="727" spans="1:24" ht="18" outlineLevel="1">
      <c r="A727" s="115"/>
      <c r="B727" s="26">
        <f>D727+G727+J727</f>
        <v>30</v>
      </c>
      <c r="C727" s="27">
        <f>E727+H727+K727</f>
        <v>92.73749999999998</v>
      </c>
      <c r="D727" s="26">
        <v>30</v>
      </c>
      <c r="E727" s="8">
        <f>D727*FORECAST(D727,AA$11:AA$12,Z$11:Z$12)</f>
        <v>92.73749999999998</v>
      </c>
      <c r="F727" s="26" t="s">
        <v>433</v>
      </c>
      <c r="G727" s="26"/>
      <c r="H727" s="26"/>
      <c r="I727" s="26"/>
      <c r="J727" s="26"/>
      <c r="K727" s="26"/>
      <c r="L727" s="26"/>
      <c r="M727" s="26">
        <v>600</v>
      </c>
      <c r="N727" s="26">
        <v>800</v>
      </c>
      <c r="O727" s="8">
        <f>C727/0.92</f>
        <v>100.80163043478258</v>
      </c>
      <c r="P727" s="26">
        <v>1</v>
      </c>
      <c r="Q727" s="26">
        <v>100</v>
      </c>
      <c r="R727" s="8">
        <f>1.454*C727</f>
        <v>134.84032499999998</v>
      </c>
      <c r="S727" s="9">
        <f>E727*1.454*0.4</f>
        <v>53.93612999999999</v>
      </c>
      <c r="T727" s="9">
        <f>E727*1.454*0.2</f>
        <v>26.968064999999996</v>
      </c>
      <c r="U727" s="9">
        <f>E727*1.454*0.2</f>
        <v>26.968064999999996</v>
      </c>
      <c r="V727" s="9">
        <f>E727*1.454*0.2</f>
        <v>26.968064999999996</v>
      </c>
      <c r="W727" s="9">
        <f>H727*1.454</f>
        <v>0</v>
      </c>
      <c r="X727" s="9">
        <f>K727*1.454</f>
        <v>0</v>
      </c>
    </row>
    <row r="728" spans="1:25" ht="21.75" customHeight="1" outlineLevel="1">
      <c r="A728" s="172">
        <v>2</v>
      </c>
      <c r="B728" s="168" t="s">
        <v>712</v>
      </c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4">
        <f>U726*2</f>
        <v>0</v>
      </c>
    </row>
    <row r="729" spans="1:25" ht="18" outlineLevel="1">
      <c r="A729" s="172"/>
      <c r="B729" s="26">
        <v>2</v>
      </c>
      <c r="C729" s="26">
        <v>10</v>
      </c>
      <c r="D729" s="26">
        <v>2</v>
      </c>
      <c r="E729" s="26">
        <v>10</v>
      </c>
      <c r="F729" s="26" t="s">
        <v>453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100</v>
      </c>
      <c r="O729" s="26">
        <v>100</v>
      </c>
      <c r="P729" s="26">
        <v>1</v>
      </c>
      <c r="Q729" s="26">
        <v>100</v>
      </c>
      <c r="R729" s="27">
        <v>134.8</v>
      </c>
      <c r="S729" s="27">
        <f>0.4*R729</f>
        <v>53.92000000000001</v>
      </c>
      <c r="T729" s="27">
        <f>0.2*R729</f>
        <v>26.960000000000004</v>
      </c>
      <c r="U729" s="27">
        <v>26.96</v>
      </c>
      <c r="V729" s="27">
        <v>26.96</v>
      </c>
      <c r="W729" s="27">
        <v>0</v>
      </c>
      <c r="X729" s="27">
        <v>0</v>
      </c>
      <c r="Y729" s="4">
        <f>U727*2</f>
        <v>53.93612999999999</v>
      </c>
    </row>
    <row r="730" spans="1:24" ht="36" outlineLevel="1">
      <c r="A730" s="26" t="s">
        <v>456</v>
      </c>
      <c r="B730" s="26">
        <f>B727+B729</f>
        <v>32</v>
      </c>
      <c r="C730" s="10">
        <f aca="true" t="shared" si="107" ref="C730:X730">C727+C729</f>
        <v>102.73749999999998</v>
      </c>
      <c r="D730" s="26">
        <f t="shared" si="107"/>
        <v>32</v>
      </c>
      <c r="E730" s="27">
        <f t="shared" si="107"/>
        <v>102.73749999999998</v>
      </c>
      <c r="F730" s="26" t="s">
        <v>433</v>
      </c>
      <c r="G730" s="26">
        <f t="shared" si="107"/>
        <v>0</v>
      </c>
      <c r="H730" s="26">
        <f t="shared" si="107"/>
        <v>0</v>
      </c>
      <c r="I730" s="26">
        <f t="shared" si="107"/>
        <v>0</v>
      </c>
      <c r="J730" s="26">
        <f t="shared" si="107"/>
        <v>0</v>
      </c>
      <c r="K730" s="26">
        <f t="shared" si="107"/>
        <v>0</v>
      </c>
      <c r="L730" s="26">
        <f t="shared" si="107"/>
        <v>0</v>
      </c>
      <c r="M730" s="26">
        <f t="shared" si="107"/>
        <v>600</v>
      </c>
      <c r="N730" s="26">
        <f t="shared" si="107"/>
        <v>900</v>
      </c>
      <c r="O730" s="27">
        <f t="shared" si="107"/>
        <v>200.80163043478257</v>
      </c>
      <c r="P730" s="26">
        <f t="shared" si="107"/>
        <v>2</v>
      </c>
      <c r="Q730" s="26">
        <f t="shared" si="107"/>
        <v>200</v>
      </c>
      <c r="R730" s="27">
        <f t="shared" si="107"/>
        <v>269.64032499999996</v>
      </c>
      <c r="S730" s="27">
        <f t="shared" si="107"/>
        <v>107.85613000000001</v>
      </c>
      <c r="T730" s="27">
        <f t="shared" si="107"/>
        <v>53.928065000000004</v>
      </c>
      <c r="U730" s="27">
        <f t="shared" si="107"/>
        <v>53.928065</v>
      </c>
      <c r="V730" s="27">
        <f t="shared" si="107"/>
        <v>53.928065</v>
      </c>
      <c r="W730" s="27">
        <f t="shared" si="107"/>
        <v>0</v>
      </c>
      <c r="X730" s="27">
        <f t="shared" si="107"/>
        <v>0</v>
      </c>
    </row>
    <row r="731" spans="1:25" s="25" customFormat="1" ht="18" outlineLevel="1">
      <c r="A731" s="171" t="s">
        <v>440</v>
      </c>
      <c r="B731" s="171"/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4">
        <f t="shared" si="99"/>
        <v>0</v>
      </c>
    </row>
    <row r="732" spans="1:25" ht="15" customHeight="1" outlineLevel="1">
      <c r="A732" s="172" t="s">
        <v>450</v>
      </c>
      <c r="B732" s="168" t="s">
        <v>46</v>
      </c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4">
        <f t="shared" si="99"/>
        <v>0</v>
      </c>
    </row>
    <row r="733" spans="1:25" ht="18.75" customHeight="1" outlineLevel="1">
      <c r="A733" s="172"/>
      <c r="B733" s="26">
        <f>D733+G733+J733</f>
        <v>50</v>
      </c>
      <c r="C733" s="27">
        <f>E733+H733+K733</f>
        <v>126</v>
      </c>
      <c r="D733" s="26">
        <v>50</v>
      </c>
      <c r="E733" s="8">
        <f>D733*FORECAST(D733,AA$12:AA$13,Z$12:Z$13)</f>
        <v>126</v>
      </c>
      <c r="F733" s="26" t="s">
        <v>433</v>
      </c>
      <c r="G733" s="26"/>
      <c r="H733" s="26"/>
      <c r="I733" s="26"/>
      <c r="J733" s="26"/>
      <c r="K733" s="26"/>
      <c r="L733" s="26"/>
      <c r="M733" s="26">
        <v>550</v>
      </c>
      <c r="N733" s="26">
        <v>1000</v>
      </c>
      <c r="O733" s="8">
        <f>C733/0.92</f>
        <v>136.95652173913044</v>
      </c>
      <c r="P733" s="26">
        <v>1</v>
      </c>
      <c r="Q733" s="26">
        <v>160</v>
      </c>
      <c r="R733" s="8">
        <f>1.454*C733</f>
        <v>183.204</v>
      </c>
      <c r="S733" s="9">
        <f>E733*1.454*0.4</f>
        <v>73.28160000000001</v>
      </c>
      <c r="T733" s="9">
        <f>E733*1.454*0.2</f>
        <v>36.640800000000006</v>
      </c>
      <c r="U733" s="9">
        <f>E733*1.454*0.2</f>
        <v>36.640800000000006</v>
      </c>
      <c r="V733" s="9">
        <f>E733*1.454*0.2</f>
        <v>36.640800000000006</v>
      </c>
      <c r="W733" s="9">
        <f>H733*1.454</f>
        <v>0</v>
      </c>
      <c r="X733" s="9">
        <f>K733*1.454</f>
        <v>0</v>
      </c>
      <c r="Y733" s="4">
        <f t="shared" si="99"/>
        <v>73.28160000000001</v>
      </c>
    </row>
    <row r="734" spans="1:25" ht="85.5" customHeight="1">
      <c r="A734" s="6" t="s">
        <v>732</v>
      </c>
      <c r="B734" s="28">
        <f>B718+B724+B730+B733</f>
        <v>224</v>
      </c>
      <c r="C734" s="28">
        <f aca="true" t="shared" si="108" ref="C734:X734">C718+C724+C730+C733</f>
        <v>786.9499999999998</v>
      </c>
      <c r="D734" s="28">
        <f t="shared" si="108"/>
        <v>223</v>
      </c>
      <c r="E734" s="28">
        <f t="shared" si="108"/>
        <v>761.9499999999998</v>
      </c>
      <c r="F734" s="28" t="s">
        <v>433</v>
      </c>
      <c r="G734" s="28">
        <f t="shared" si="108"/>
        <v>0</v>
      </c>
      <c r="H734" s="28">
        <f t="shared" si="108"/>
        <v>0</v>
      </c>
      <c r="I734" s="28" t="s">
        <v>698</v>
      </c>
      <c r="J734" s="85">
        <f t="shared" si="108"/>
        <v>1</v>
      </c>
      <c r="K734" s="28">
        <f t="shared" si="108"/>
        <v>25</v>
      </c>
      <c r="L734" s="28" t="s">
        <v>433</v>
      </c>
      <c r="M734" s="28">
        <f t="shared" si="108"/>
        <v>1150</v>
      </c>
      <c r="N734" s="28">
        <f t="shared" si="108"/>
        <v>5300</v>
      </c>
      <c r="O734" s="28">
        <f t="shared" si="108"/>
        <v>1090.1630434782608</v>
      </c>
      <c r="P734" s="28">
        <f t="shared" si="108"/>
        <v>9</v>
      </c>
      <c r="Q734" s="28">
        <f t="shared" si="108"/>
        <v>1120</v>
      </c>
      <c r="R734" s="28">
        <f t="shared" si="108"/>
        <v>1351.9652999999998</v>
      </c>
      <c r="S734" s="28">
        <f t="shared" si="108"/>
        <v>526.78612</v>
      </c>
      <c r="T734" s="28">
        <f t="shared" si="108"/>
        <v>263.39306</v>
      </c>
      <c r="U734" s="28">
        <f t="shared" si="108"/>
        <v>263.39306</v>
      </c>
      <c r="V734" s="28">
        <f t="shared" si="108"/>
        <v>263.39306</v>
      </c>
      <c r="W734" s="28">
        <f t="shared" si="108"/>
        <v>0</v>
      </c>
      <c r="X734" s="28">
        <f t="shared" si="108"/>
        <v>35</v>
      </c>
      <c r="Y734" s="4">
        <f t="shared" si="99"/>
        <v>526.78612</v>
      </c>
    </row>
    <row r="735" spans="1:25" ht="18">
      <c r="A735" s="171" t="s">
        <v>449</v>
      </c>
      <c r="B735" s="171"/>
      <c r="C735" s="171"/>
      <c r="D735" s="171"/>
      <c r="E735" s="171"/>
      <c r="F735" s="171"/>
      <c r="G735" s="171"/>
      <c r="H735" s="171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4">
        <f t="shared" si="99"/>
        <v>0</v>
      </c>
    </row>
    <row r="736" spans="1:25" ht="18.75" outlineLevel="1">
      <c r="A736" s="13">
        <v>1</v>
      </c>
      <c r="B736" s="13">
        <v>2</v>
      </c>
      <c r="C736" s="13">
        <v>3</v>
      </c>
      <c r="D736" s="13">
        <v>4</v>
      </c>
      <c r="E736" s="13">
        <v>5</v>
      </c>
      <c r="F736" s="13">
        <v>6</v>
      </c>
      <c r="G736" s="13">
        <v>7</v>
      </c>
      <c r="H736" s="13">
        <v>8</v>
      </c>
      <c r="I736" s="13">
        <v>9</v>
      </c>
      <c r="J736" s="13">
        <v>10</v>
      </c>
      <c r="K736" s="13">
        <v>11</v>
      </c>
      <c r="L736" s="13">
        <v>12</v>
      </c>
      <c r="M736" s="13">
        <v>13</v>
      </c>
      <c r="N736" s="13">
        <v>14</v>
      </c>
      <c r="O736" s="13">
        <v>15</v>
      </c>
      <c r="P736" s="13">
        <v>16</v>
      </c>
      <c r="Q736" s="13">
        <v>17</v>
      </c>
      <c r="R736" s="13">
        <v>18</v>
      </c>
      <c r="S736" s="89">
        <v>19</v>
      </c>
      <c r="T736" s="14">
        <v>20</v>
      </c>
      <c r="U736" s="14">
        <v>21</v>
      </c>
      <c r="V736" s="14">
        <v>22</v>
      </c>
      <c r="W736" s="14">
        <v>23</v>
      </c>
      <c r="X736" s="14">
        <v>24</v>
      </c>
      <c r="Y736" s="4">
        <f t="shared" si="99"/>
        <v>42</v>
      </c>
    </row>
    <row r="737" spans="1:25" ht="12.75" customHeight="1" outlineLevel="1">
      <c r="A737" s="161" t="s">
        <v>430</v>
      </c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4">
        <f t="shared" si="99"/>
        <v>0</v>
      </c>
    </row>
    <row r="738" spans="1:25" ht="12.75" customHeight="1" outlineLevel="2">
      <c r="A738" s="170">
        <v>1</v>
      </c>
      <c r="B738" s="162" t="s">
        <v>590</v>
      </c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4">
        <f t="shared" si="99"/>
        <v>0</v>
      </c>
    </row>
    <row r="739" spans="1:25" ht="18" outlineLevel="2">
      <c r="A739" s="170"/>
      <c r="B739" s="5">
        <f>D739+G739+J739</f>
        <v>16</v>
      </c>
      <c r="C739" s="5">
        <f>E739+H739+K739</f>
        <v>67.19999999999999</v>
      </c>
      <c r="D739" s="5">
        <v>16</v>
      </c>
      <c r="E739" s="8">
        <f>D739*FORECAST(D739,AA$9:AA$10,Z$9:Z$10)</f>
        <v>67.19999999999999</v>
      </c>
      <c r="F739" s="5" t="s">
        <v>433</v>
      </c>
      <c r="G739" s="5"/>
      <c r="H739" s="5"/>
      <c r="I739" s="5"/>
      <c r="J739" s="5"/>
      <c r="K739" s="5"/>
      <c r="L739" s="5"/>
      <c r="M739" s="5"/>
      <c r="N739" s="5">
        <v>500</v>
      </c>
      <c r="O739" s="8">
        <f>C739/0.92</f>
        <v>73.04347826086955</v>
      </c>
      <c r="P739" s="5"/>
      <c r="Q739" s="5"/>
      <c r="R739" s="8">
        <f>1.454*C739</f>
        <v>97.70879999999998</v>
      </c>
      <c r="S739" s="9">
        <f>E739*1.454*0.4</f>
        <v>39.08351999999999</v>
      </c>
      <c r="T739" s="9">
        <f>E739*1.454*0.2</f>
        <v>19.541759999999996</v>
      </c>
      <c r="U739" s="9">
        <f>E739*1.454*0.2</f>
        <v>19.541759999999996</v>
      </c>
      <c r="V739" s="9">
        <f>E739*1.454*0.2</f>
        <v>19.541759999999996</v>
      </c>
      <c r="W739" s="9">
        <f>H739*1.454</f>
        <v>0</v>
      </c>
      <c r="X739" s="9">
        <f>K739*1.454</f>
        <v>0</v>
      </c>
      <c r="Y739" s="4">
        <f t="shared" si="99"/>
        <v>39.08351999999999</v>
      </c>
    </row>
    <row r="740" spans="1:25" ht="12.75" customHeight="1" outlineLevel="2">
      <c r="A740" s="170">
        <v>2</v>
      </c>
      <c r="B740" s="169" t="s">
        <v>591</v>
      </c>
      <c r="C740" s="169"/>
      <c r="D740" s="169"/>
      <c r="E740" s="169"/>
      <c r="F740" s="169"/>
      <c r="G740" s="169"/>
      <c r="H740" s="169"/>
      <c r="I740" s="169"/>
      <c r="J740" s="169"/>
      <c r="K740" s="169"/>
      <c r="L740" s="169"/>
      <c r="M740" s="169"/>
      <c r="N740" s="169"/>
      <c r="O740" s="169"/>
      <c r="P740" s="169"/>
      <c r="Q740" s="169"/>
      <c r="R740" s="169"/>
      <c r="S740" s="169"/>
      <c r="T740" s="169"/>
      <c r="U740" s="169"/>
      <c r="V740" s="169"/>
      <c r="W740" s="169"/>
      <c r="X740" s="169"/>
      <c r="Y740" s="4">
        <f t="shared" si="99"/>
        <v>0</v>
      </c>
    </row>
    <row r="741" spans="1:25" ht="18" outlineLevel="2">
      <c r="A741" s="170"/>
      <c r="B741" s="5">
        <f>D741+G741+J741</f>
        <v>10</v>
      </c>
      <c r="C741" s="8">
        <f>E741+H741+K741</f>
        <v>55.26666666666667</v>
      </c>
      <c r="D741" s="5">
        <v>10</v>
      </c>
      <c r="E741" s="8">
        <f>D741*FORECAST(D741,AA$7:AA$8,Z$7:Z$8)</f>
        <v>55.26666666666667</v>
      </c>
      <c r="F741" s="5" t="s">
        <v>433</v>
      </c>
      <c r="G741" s="5"/>
      <c r="H741" s="5"/>
      <c r="I741" s="5"/>
      <c r="J741" s="5"/>
      <c r="K741" s="5"/>
      <c r="L741" s="5"/>
      <c r="M741" s="5"/>
      <c r="N741" s="5">
        <v>300</v>
      </c>
      <c r="O741" s="8">
        <f>C741/0.92</f>
        <v>60.072463768115945</v>
      </c>
      <c r="P741" s="5"/>
      <c r="Q741" s="5"/>
      <c r="R741" s="8">
        <f>1.454*C741</f>
        <v>80.35773333333334</v>
      </c>
      <c r="S741" s="9">
        <f>E741*1.454*0.4</f>
        <v>32.14309333333334</v>
      </c>
      <c r="T741" s="9">
        <f>E741*1.454*0.2</f>
        <v>16.07154666666667</v>
      </c>
      <c r="U741" s="9">
        <f>E741*1.454*0.2</f>
        <v>16.07154666666667</v>
      </c>
      <c r="V741" s="9">
        <f>E741*1.454*0.2</f>
        <v>16.07154666666667</v>
      </c>
      <c r="W741" s="9">
        <f>H741*1.454</f>
        <v>0</v>
      </c>
      <c r="X741" s="9">
        <f>K741*1.454</f>
        <v>0</v>
      </c>
      <c r="Y741" s="4">
        <f t="shared" si="99"/>
        <v>32.14309333333334</v>
      </c>
    </row>
    <row r="742" spans="1:25" ht="36" outlineLevel="2">
      <c r="A742" s="7" t="s">
        <v>431</v>
      </c>
      <c r="B742" s="7">
        <f>B739+B741</f>
        <v>26</v>
      </c>
      <c r="C742" s="10">
        <f>C739+C741</f>
        <v>122.46666666666667</v>
      </c>
      <c r="D742" s="7">
        <f>D739+D741</f>
        <v>26</v>
      </c>
      <c r="E742" s="10">
        <f>E739+E741</f>
        <v>122.46666666666667</v>
      </c>
      <c r="F742" s="7" t="s">
        <v>433</v>
      </c>
      <c r="G742" s="7">
        <f>G739+G741</f>
        <v>0</v>
      </c>
      <c r="H742" s="7">
        <f>H739+H741</f>
        <v>0</v>
      </c>
      <c r="I742" s="7" t="s">
        <v>441</v>
      </c>
      <c r="J742" s="7">
        <f>J739+J741</f>
        <v>0</v>
      </c>
      <c r="K742" s="7">
        <f>K739+K741</f>
        <v>0</v>
      </c>
      <c r="L742" s="7" t="s">
        <v>441</v>
      </c>
      <c r="M742" s="7">
        <f aca="true" t="shared" si="109" ref="M742:X742">M739+M741</f>
        <v>0</v>
      </c>
      <c r="N742" s="7">
        <f t="shared" si="109"/>
        <v>800</v>
      </c>
      <c r="O742" s="10">
        <f t="shared" si="109"/>
        <v>133.1159420289855</v>
      </c>
      <c r="P742" s="7">
        <f t="shared" si="109"/>
        <v>0</v>
      </c>
      <c r="Q742" s="7">
        <f t="shared" si="109"/>
        <v>0</v>
      </c>
      <c r="R742" s="10">
        <f t="shared" si="109"/>
        <v>178.06653333333333</v>
      </c>
      <c r="S742" s="10">
        <f t="shared" si="109"/>
        <v>71.22661333333333</v>
      </c>
      <c r="T742" s="10">
        <f t="shared" si="109"/>
        <v>35.613306666666666</v>
      </c>
      <c r="U742" s="10">
        <f t="shared" si="109"/>
        <v>35.613306666666666</v>
      </c>
      <c r="V742" s="10">
        <f t="shared" si="109"/>
        <v>35.613306666666666</v>
      </c>
      <c r="W742" s="10">
        <f t="shared" si="109"/>
        <v>0</v>
      </c>
      <c r="X742" s="10">
        <f t="shared" si="109"/>
        <v>0</v>
      </c>
      <c r="Y742" s="4">
        <f t="shared" si="99"/>
        <v>71.22661333333333</v>
      </c>
    </row>
    <row r="743" spans="1:25" ht="12.75" customHeight="1" outlineLevel="2">
      <c r="A743" s="151">
        <v>1</v>
      </c>
      <c r="B743" s="152" t="s">
        <v>670</v>
      </c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4">
        <f t="shared" si="99"/>
        <v>0</v>
      </c>
    </row>
    <row r="744" spans="1:25" ht="18" outlineLevel="2">
      <c r="A744" s="151"/>
      <c r="B744" s="5">
        <f>D744+G744+J744</f>
        <v>32</v>
      </c>
      <c r="C744" s="8">
        <f>E744+H744+K744</f>
        <v>96.16</v>
      </c>
      <c r="D744" s="5">
        <v>32</v>
      </c>
      <c r="E744" s="8">
        <f>D744*FORECAST(D744,AA$11:AA$12,Z$11:Z$12)</f>
        <v>96.16</v>
      </c>
      <c r="F744" s="5" t="s">
        <v>433</v>
      </c>
      <c r="G744" s="5"/>
      <c r="H744" s="5"/>
      <c r="I744" s="5"/>
      <c r="J744" s="5"/>
      <c r="K744" s="5"/>
      <c r="L744" s="5"/>
      <c r="M744" s="5"/>
      <c r="N744" s="5">
        <v>850</v>
      </c>
      <c r="O744" s="8">
        <f>C744/0.92</f>
        <v>104.52173913043478</v>
      </c>
      <c r="P744" s="5">
        <v>0</v>
      </c>
      <c r="Q744" s="5">
        <v>0</v>
      </c>
      <c r="R744" s="8">
        <f>1.454*C744</f>
        <v>139.81663999999998</v>
      </c>
      <c r="S744" s="9">
        <f>E744*1.454*0.4</f>
        <v>55.926655999999994</v>
      </c>
      <c r="T744" s="9">
        <f>E744*1.454*0.2</f>
        <v>27.963327999999997</v>
      </c>
      <c r="U744" s="9">
        <f>E744*1.454*0.2</f>
        <v>27.963327999999997</v>
      </c>
      <c r="V744" s="9">
        <f>E744*1.454*0.2</f>
        <v>27.963327999999997</v>
      </c>
      <c r="W744" s="9">
        <f>H744*1.454</f>
        <v>0</v>
      </c>
      <c r="X744" s="9">
        <f>K744*1.454</f>
        <v>0</v>
      </c>
      <c r="Y744" s="4">
        <f t="shared" si="99"/>
        <v>55.926655999999994</v>
      </c>
    </row>
    <row r="745" spans="1:25" ht="12.75" customHeight="1" outlineLevel="2">
      <c r="A745" s="170">
        <v>1</v>
      </c>
      <c r="B745" s="169" t="s">
        <v>592</v>
      </c>
      <c r="C745" s="169"/>
      <c r="D745" s="169"/>
      <c r="E745" s="169"/>
      <c r="F745" s="169"/>
      <c r="G745" s="169"/>
      <c r="H745" s="169"/>
      <c r="I745" s="169"/>
      <c r="J745" s="169"/>
      <c r="K745" s="169"/>
      <c r="L745" s="169"/>
      <c r="M745" s="169"/>
      <c r="N745" s="169"/>
      <c r="O745" s="169"/>
      <c r="P745" s="169"/>
      <c r="Q745" s="169"/>
      <c r="R745" s="169"/>
      <c r="S745" s="169"/>
      <c r="T745" s="169"/>
      <c r="U745" s="169"/>
      <c r="V745" s="169"/>
      <c r="W745" s="169"/>
      <c r="X745" s="169"/>
      <c r="Y745" s="4">
        <f t="shared" si="99"/>
        <v>0</v>
      </c>
    </row>
    <row r="746" spans="1:25" ht="18" outlineLevel="2">
      <c r="A746" s="170"/>
      <c r="B746" s="5">
        <f>D746+G746+J746</f>
        <v>70</v>
      </c>
      <c r="C746" s="8">
        <f>E746+H746+K746</f>
        <v>162.75</v>
      </c>
      <c r="D746" s="5">
        <v>70</v>
      </c>
      <c r="E746" s="8">
        <f>D746*FORECAST(D746,AA$13:AA$14,Z$13:Z$14)</f>
        <v>162.75</v>
      </c>
      <c r="F746" s="5" t="s">
        <v>433</v>
      </c>
      <c r="G746" s="5"/>
      <c r="H746" s="5"/>
      <c r="I746" s="5"/>
      <c r="J746" s="5"/>
      <c r="K746" s="5"/>
      <c r="L746" s="5"/>
      <c r="M746" s="5"/>
      <c r="N746" s="5">
        <v>1100</v>
      </c>
      <c r="O746" s="8">
        <f>C746/0.92</f>
        <v>176.90217391304347</v>
      </c>
      <c r="P746" s="5">
        <v>0</v>
      </c>
      <c r="Q746" s="5">
        <v>0</v>
      </c>
      <c r="R746" s="8">
        <f>1.454*C746</f>
        <v>236.6385</v>
      </c>
      <c r="S746" s="9">
        <f>E746*1.454*0.4</f>
        <v>94.6554</v>
      </c>
      <c r="T746" s="9">
        <f>E746*1.454*0.2</f>
        <v>47.3277</v>
      </c>
      <c r="U746" s="9">
        <f>E746*1.454*0.2</f>
        <v>47.3277</v>
      </c>
      <c r="V746" s="9">
        <f>E746*1.454*0.2</f>
        <v>47.3277</v>
      </c>
      <c r="W746" s="9">
        <f>H746*1.454</f>
        <v>0</v>
      </c>
      <c r="X746" s="9">
        <f>K746*1.454</f>
        <v>0</v>
      </c>
      <c r="Y746" s="4">
        <f t="shared" si="99"/>
        <v>94.6554</v>
      </c>
    </row>
    <row r="747" spans="1:25" ht="12.75" customHeight="1" outlineLevel="2">
      <c r="A747" s="170">
        <v>1</v>
      </c>
      <c r="B747" s="169" t="s">
        <v>671</v>
      </c>
      <c r="C747" s="169"/>
      <c r="D747" s="169"/>
      <c r="E747" s="169"/>
      <c r="F747" s="169"/>
      <c r="G747" s="169"/>
      <c r="H747" s="169"/>
      <c r="I747" s="169"/>
      <c r="J747" s="169"/>
      <c r="K747" s="169"/>
      <c r="L747" s="169"/>
      <c r="M747" s="169"/>
      <c r="N747" s="169"/>
      <c r="O747" s="169"/>
      <c r="P747" s="169"/>
      <c r="Q747" s="169"/>
      <c r="R747" s="169"/>
      <c r="S747" s="169"/>
      <c r="T747" s="169"/>
      <c r="U747" s="169"/>
      <c r="V747" s="169"/>
      <c r="W747" s="169"/>
      <c r="X747" s="169"/>
      <c r="Y747" s="4">
        <f t="shared" si="99"/>
        <v>0</v>
      </c>
    </row>
    <row r="748" spans="1:25" ht="18" outlineLevel="2">
      <c r="A748" s="170"/>
      <c r="B748" s="5">
        <f>D748+G748+J748</f>
        <v>15</v>
      </c>
      <c r="C748" s="5">
        <f>E748+H748+K748</f>
        <v>65.1</v>
      </c>
      <c r="D748" s="5">
        <v>15</v>
      </c>
      <c r="E748" s="8">
        <f>D748*FORECAST(D748,AA$9:AA$10,Z$9:Z$10)</f>
        <v>65.1</v>
      </c>
      <c r="F748" s="5" t="s">
        <v>433</v>
      </c>
      <c r="G748" s="5"/>
      <c r="H748" s="5"/>
      <c r="I748" s="5"/>
      <c r="J748" s="5"/>
      <c r="K748" s="5"/>
      <c r="L748" s="5"/>
      <c r="M748" s="5"/>
      <c r="N748" s="5">
        <v>450</v>
      </c>
      <c r="O748" s="8">
        <f>C748/0.92</f>
        <v>70.76086956521738</v>
      </c>
      <c r="P748" s="5">
        <v>0</v>
      </c>
      <c r="Q748" s="5">
        <v>0</v>
      </c>
      <c r="R748" s="8">
        <f>1.454*C748</f>
        <v>94.65539999999999</v>
      </c>
      <c r="S748" s="9">
        <f>E748*1.454*0.4</f>
        <v>37.862159999999996</v>
      </c>
      <c r="T748" s="9">
        <f>E748*1.454*0.2</f>
        <v>18.931079999999998</v>
      </c>
      <c r="U748" s="9">
        <f>E748*1.454*0.2</f>
        <v>18.931079999999998</v>
      </c>
      <c r="V748" s="9">
        <f>E748*1.454*0.2</f>
        <v>18.931079999999998</v>
      </c>
      <c r="W748" s="9">
        <f>H748*1.454</f>
        <v>0</v>
      </c>
      <c r="X748" s="9">
        <f>K748*1.454</f>
        <v>0</v>
      </c>
      <c r="Y748" s="4">
        <f t="shared" si="99"/>
        <v>37.862159999999996</v>
      </c>
    </row>
    <row r="749" spans="1:25" ht="12.75" customHeight="1" outlineLevel="2">
      <c r="A749" s="170">
        <v>1</v>
      </c>
      <c r="B749" s="169" t="s">
        <v>593</v>
      </c>
      <c r="C749" s="169"/>
      <c r="D749" s="169"/>
      <c r="E749" s="169"/>
      <c r="F749" s="169"/>
      <c r="G749" s="169"/>
      <c r="H749" s="169"/>
      <c r="I749" s="169"/>
      <c r="J749" s="169"/>
      <c r="K749" s="169"/>
      <c r="L749" s="169"/>
      <c r="M749" s="169"/>
      <c r="N749" s="169"/>
      <c r="O749" s="169"/>
      <c r="P749" s="169"/>
      <c r="Q749" s="169"/>
      <c r="R749" s="169"/>
      <c r="S749" s="169"/>
      <c r="T749" s="169"/>
      <c r="U749" s="169"/>
      <c r="V749" s="169"/>
      <c r="W749" s="169"/>
      <c r="X749" s="169"/>
      <c r="Y749" s="4">
        <f t="shared" si="99"/>
        <v>0</v>
      </c>
    </row>
    <row r="750" spans="1:25" ht="18" outlineLevel="2">
      <c r="A750" s="170"/>
      <c r="B750" s="5">
        <f>D750+G750+J750</f>
        <v>18</v>
      </c>
      <c r="C750" s="8">
        <f>E750+H750+K750</f>
        <v>70.56</v>
      </c>
      <c r="D750" s="5">
        <v>18</v>
      </c>
      <c r="E750" s="8">
        <f>D750*FORECAST(D750,AA$9:AA$10,Z$9:Z$10)</f>
        <v>70.56</v>
      </c>
      <c r="F750" s="5" t="s">
        <v>433</v>
      </c>
      <c r="G750" s="5"/>
      <c r="H750" s="5"/>
      <c r="I750" s="5"/>
      <c r="J750" s="5"/>
      <c r="K750" s="5"/>
      <c r="L750" s="5"/>
      <c r="M750" s="5"/>
      <c r="N750" s="5">
        <v>750</v>
      </c>
      <c r="O750" s="8">
        <f>C750/0.92</f>
        <v>76.69565217391305</v>
      </c>
      <c r="P750" s="5"/>
      <c r="Q750" s="5"/>
      <c r="R750" s="8">
        <f>1.454*C750</f>
        <v>102.59424</v>
      </c>
      <c r="S750" s="9">
        <f>E750*1.454*0.4</f>
        <v>41.037696000000004</v>
      </c>
      <c r="T750" s="9">
        <f>E750*1.454*0.2</f>
        <v>20.518848000000002</v>
      </c>
      <c r="U750" s="9">
        <f>E750*1.454*0.2</f>
        <v>20.518848000000002</v>
      </c>
      <c r="V750" s="9">
        <f>E750*1.454*0.2</f>
        <v>20.518848000000002</v>
      </c>
      <c r="W750" s="9">
        <f>H750*1.454</f>
        <v>0</v>
      </c>
      <c r="X750" s="9">
        <f>K750*1.454</f>
        <v>0</v>
      </c>
      <c r="Y750" s="4">
        <f t="shared" si="99"/>
        <v>41.037696000000004</v>
      </c>
    </row>
    <row r="751" spans="1:25" ht="12.75" customHeight="1" outlineLevel="2">
      <c r="A751" s="170">
        <v>1</v>
      </c>
      <c r="B751" s="169" t="s">
        <v>672</v>
      </c>
      <c r="C751" s="169"/>
      <c r="D751" s="169"/>
      <c r="E751" s="169"/>
      <c r="F751" s="169"/>
      <c r="G751" s="169"/>
      <c r="H751" s="169"/>
      <c r="I751" s="169"/>
      <c r="J751" s="169"/>
      <c r="K751" s="169"/>
      <c r="L751" s="169"/>
      <c r="M751" s="169"/>
      <c r="N751" s="169"/>
      <c r="O751" s="169"/>
      <c r="P751" s="169"/>
      <c r="Q751" s="169"/>
      <c r="R751" s="169"/>
      <c r="S751" s="169"/>
      <c r="T751" s="169"/>
      <c r="U751" s="169"/>
      <c r="V751" s="169"/>
      <c r="W751" s="169"/>
      <c r="X751" s="169"/>
      <c r="Y751" s="4">
        <f t="shared" si="99"/>
        <v>0</v>
      </c>
    </row>
    <row r="752" spans="1:25" ht="18" outlineLevel="2">
      <c r="A752" s="170"/>
      <c r="B752" s="5">
        <f>D752+G752+J752</f>
        <v>35</v>
      </c>
      <c r="C752" s="8">
        <f>E752+H752+K752</f>
        <v>100.646875</v>
      </c>
      <c r="D752" s="5">
        <v>35</v>
      </c>
      <c r="E752" s="8">
        <f>D752*FORECAST(D752,AA$11:AA$12,Z$11:Z$12)</f>
        <v>100.646875</v>
      </c>
      <c r="F752" s="5" t="s">
        <v>433</v>
      </c>
      <c r="G752" s="5"/>
      <c r="H752" s="5"/>
      <c r="I752" s="5"/>
      <c r="J752" s="5"/>
      <c r="K752" s="5"/>
      <c r="L752" s="5"/>
      <c r="M752" s="5"/>
      <c r="N752" s="5">
        <v>800</v>
      </c>
      <c r="O752" s="8">
        <f>C752/0.92</f>
        <v>109.39877717391303</v>
      </c>
      <c r="P752" s="5"/>
      <c r="Q752" s="5"/>
      <c r="R752" s="8">
        <f>1.454*C752</f>
        <v>146.34055625</v>
      </c>
      <c r="S752" s="9">
        <f>E752*1.454*0.4</f>
        <v>58.5362225</v>
      </c>
      <c r="T752" s="9">
        <f>E752*1.454*0.2</f>
        <v>29.26811125</v>
      </c>
      <c r="U752" s="9">
        <f>E752*1.454*0.2</f>
        <v>29.26811125</v>
      </c>
      <c r="V752" s="9">
        <f>E752*1.454*0.2</f>
        <v>29.26811125</v>
      </c>
      <c r="W752" s="9">
        <f>H752*1.454</f>
        <v>0</v>
      </c>
      <c r="X752" s="9">
        <f>K752*1.454</f>
        <v>0</v>
      </c>
      <c r="Y752" s="4">
        <f t="shared" si="99"/>
        <v>58.5362225</v>
      </c>
    </row>
    <row r="753" spans="1:25" ht="12.75" customHeight="1" outlineLevel="2">
      <c r="A753" s="170">
        <v>1</v>
      </c>
      <c r="B753" s="169" t="s">
        <v>47</v>
      </c>
      <c r="C753" s="169"/>
      <c r="D753" s="169"/>
      <c r="E753" s="169"/>
      <c r="F753" s="169"/>
      <c r="G753" s="169"/>
      <c r="H753" s="169"/>
      <c r="I753" s="169"/>
      <c r="J753" s="169"/>
      <c r="K753" s="169"/>
      <c r="L753" s="169"/>
      <c r="M753" s="169"/>
      <c r="N753" s="169"/>
      <c r="O753" s="169"/>
      <c r="P753" s="169"/>
      <c r="Q753" s="169"/>
      <c r="R753" s="169"/>
      <c r="S753" s="169"/>
      <c r="T753" s="169"/>
      <c r="U753" s="169"/>
      <c r="V753" s="169"/>
      <c r="W753" s="169"/>
      <c r="X753" s="169"/>
      <c r="Y753" s="4">
        <f t="shared" si="99"/>
        <v>0</v>
      </c>
    </row>
    <row r="754" spans="1:25" ht="18" outlineLevel="2">
      <c r="A754" s="170"/>
      <c r="B754" s="5">
        <f>D754+G754+J754</f>
        <v>24</v>
      </c>
      <c r="C754" s="5">
        <f>E754+H754+K754</f>
        <v>80.39999999999999</v>
      </c>
      <c r="D754" s="5">
        <v>24</v>
      </c>
      <c r="E754" s="8">
        <f>D754*FORECAST(D754,AA$10:AA$11,Z$10:Z$11)</f>
        <v>80.39999999999999</v>
      </c>
      <c r="F754" s="5" t="s">
        <v>433</v>
      </c>
      <c r="G754" s="5"/>
      <c r="H754" s="5"/>
      <c r="I754" s="5"/>
      <c r="J754" s="5"/>
      <c r="K754" s="5"/>
      <c r="L754" s="5"/>
      <c r="M754" s="5"/>
      <c r="N754" s="5">
        <v>700</v>
      </c>
      <c r="O754" s="8">
        <f>C754/0.92</f>
        <v>87.39130434782608</v>
      </c>
      <c r="P754" s="5"/>
      <c r="Q754" s="5"/>
      <c r="R754" s="8">
        <f>1.454*C754</f>
        <v>116.90159999999999</v>
      </c>
      <c r="S754" s="9">
        <f>E754*1.454*0.4</f>
        <v>46.760639999999995</v>
      </c>
      <c r="T754" s="9">
        <f>E754*1.454*0.2</f>
        <v>23.380319999999998</v>
      </c>
      <c r="U754" s="9">
        <f>E754*1.454*0.2</f>
        <v>23.380319999999998</v>
      </c>
      <c r="V754" s="9">
        <f>E754*1.454*0.2</f>
        <v>23.380319999999998</v>
      </c>
      <c r="W754" s="9">
        <f>H754*1.454</f>
        <v>0</v>
      </c>
      <c r="X754" s="9">
        <f>K754*1.454</f>
        <v>0</v>
      </c>
      <c r="Y754" s="4">
        <f t="shared" si="99"/>
        <v>46.760639999999995</v>
      </c>
    </row>
    <row r="755" spans="1:25" ht="12.75" customHeight="1" outlineLevel="2">
      <c r="A755" s="170">
        <v>1</v>
      </c>
      <c r="B755" s="169" t="s">
        <v>594</v>
      </c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  <c r="Q755" s="169"/>
      <c r="R755" s="169"/>
      <c r="S755" s="169"/>
      <c r="T755" s="169"/>
      <c r="U755" s="169"/>
      <c r="V755" s="169"/>
      <c r="W755" s="169"/>
      <c r="X755" s="169"/>
      <c r="Y755" s="4">
        <f t="shared" si="99"/>
        <v>0</v>
      </c>
    </row>
    <row r="756" spans="1:25" ht="18" outlineLevel="2">
      <c r="A756" s="170"/>
      <c r="B756" s="5">
        <f>D756+G756+J756</f>
        <v>18</v>
      </c>
      <c r="C756" s="5">
        <f>E756+H756+K756</f>
        <v>70.56</v>
      </c>
      <c r="D756" s="5">
        <v>18</v>
      </c>
      <c r="E756" s="8">
        <f>D756*FORECAST(D756,AA$9:AA$10,Z$9:Z$10)</f>
        <v>70.56</v>
      </c>
      <c r="F756" s="5" t="s">
        <v>433</v>
      </c>
      <c r="G756" s="5"/>
      <c r="H756" s="5"/>
      <c r="I756" s="5"/>
      <c r="J756" s="5"/>
      <c r="K756" s="5"/>
      <c r="L756" s="5"/>
      <c r="M756" s="5"/>
      <c r="N756" s="5">
        <v>630</v>
      </c>
      <c r="O756" s="8">
        <f>C756/0.92</f>
        <v>76.69565217391305</v>
      </c>
      <c r="P756" s="5"/>
      <c r="Q756" s="5"/>
      <c r="R756" s="8">
        <f>1.454*C756</f>
        <v>102.59424</v>
      </c>
      <c r="S756" s="9">
        <f>E756*1.454*0.4</f>
        <v>41.037696000000004</v>
      </c>
      <c r="T756" s="9">
        <f>E756*1.454*0.2</f>
        <v>20.518848000000002</v>
      </c>
      <c r="U756" s="9">
        <f>E756*1.454*0.2</f>
        <v>20.518848000000002</v>
      </c>
      <c r="V756" s="9">
        <f>E756*1.454*0.2</f>
        <v>20.518848000000002</v>
      </c>
      <c r="W756" s="9">
        <f>H756*1.454</f>
        <v>0</v>
      </c>
      <c r="X756" s="9">
        <f>K756*1.454</f>
        <v>0</v>
      </c>
      <c r="Y756" s="4">
        <f t="shared" si="99"/>
        <v>41.037696000000004</v>
      </c>
    </row>
    <row r="757" spans="1:25" ht="12.75" customHeight="1" outlineLevel="2">
      <c r="A757" s="170">
        <v>1</v>
      </c>
      <c r="B757" s="169" t="s">
        <v>489</v>
      </c>
      <c r="C757" s="169"/>
      <c r="D757" s="169"/>
      <c r="E757" s="169"/>
      <c r="F757" s="169"/>
      <c r="G757" s="169"/>
      <c r="H757" s="169"/>
      <c r="I757" s="169"/>
      <c r="J757" s="169"/>
      <c r="K757" s="169"/>
      <c r="L757" s="169"/>
      <c r="M757" s="169"/>
      <c r="N757" s="169"/>
      <c r="O757" s="169"/>
      <c r="P757" s="169"/>
      <c r="Q757" s="169"/>
      <c r="R757" s="169"/>
      <c r="S757" s="169"/>
      <c r="T757" s="169"/>
      <c r="U757" s="169"/>
      <c r="V757" s="169"/>
      <c r="W757" s="169"/>
      <c r="X757" s="169"/>
      <c r="Y757" s="4">
        <f t="shared" si="99"/>
        <v>0</v>
      </c>
    </row>
    <row r="758" spans="1:25" ht="18" outlineLevel="2">
      <c r="A758" s="170"/>
      <c r="B758" s="5">
        <f>D758+G758+J758</f>
        <v>25</v>
      </c>
      <c r="C758" s="8">
        <f>E758+H758+K758</f>
        <v>82.671875</v>
      </c>
      <c r="D758" s="5">
        <v>25</v>
      </c>
      <c r="E758" s="8">
        <f>D758*FORECAST(D758,AA$11:AA$12,Z$11:Z$12)</f>
        <v>82.671875</v>
      </c>
      <c r="F758" s="5" t="s">
        <v>433</v>
      </c>
      <c r="G758" s="5"/>
      <c r="H758" s="5"/>
      <c r="I758" s="5"/>
      <c r="J758" s="5"/>
      <c r="K758" s="5"/>
      <c r="L758" s="5"/>
      <c r="M758" s="5"/>
      <c r="N758" s="5">
        <v>250</v>
      </c>
      <c r="O758" s="8">
        <f>C758/0.92</f>
        <v>89.86073369565217</v>
      </c>
      <c r="P758" s="5"/>
      <c r="Q758" s="5"/>
      <c r="R758" s="8">
        <f>1.454*C758</f>
        <v>120.20490625</v>
      </c>
      <c r="S758" s="9">
        <f>E758*1.454*0.4</f>
        <v>48.0819625</v>
      </c>
      <c r="T758" s="9">
        <f>E758*1.454*0.2</f>
        <v>24.04098125</v>
      </c>
      <c r="U758" s="9">
        <f>E758*1.454*0.2</f>
        <v>24.04098125</v>
      </c>
      <c r="V758" s="9">
        <f>E758*1.454*0.2</f>
        <v>24.04098125</v>
      </c>
      <c r="W758" s="9">
        <f>H758*1.454</f>
        <v>0</v>
      </c>
      <c r="X758" s="9">
        <f>K758*1.454</f>
        <v>0</v>
      </c>
      <c r="Y758" s="4">
        <f t="shared" si="99"/>
        <v>48.0819625</v>
      </c>
    </row>
    <row r="759" spans="1:25" ht="12.75" customHeight="1" outlineLevel="2">
      <c r="A759" s="170">
        <v>1</v>
      </c>
      <c r="B759" s="169" t="s">
        <v>490</v>
      </c>
      <c r="C759" s="169"/>
      <c r="D759" s="169"/>
      <c r="E759" s="169"/>
      <c r="F759" s="169"/>
      <c r="G759" s="169"/>
      <c r="H759" s="169"/>
      <c r="I759" s="169"/>
      <c r="J759" s="169"/>
      <c r="K759" s="169"/>
      <c r="L759" s="169"/>
      <c r="M759" s="169"/>
      <c r="N759" s="169"/>
      <c r="O759" s="169"/>
      <c r="P759" s="169"/>
      <c r="Q759" s="169"/>
      <c r="R759" s="169"/>
      <c r="S759" s="169"/>
      <c r="T759" s="169"/>
      <c r="U759" s="169"/>
      <c r="V759" s="169"/>
      <c r="W759" s="169"/>
      <c r="X759" s="169"/>
      <c r="Y759" s="4">
        <f t="shared" si="99"/>
        <v>0</v>
      </c>
    </row>
    <row r="760" spans="1:25" ht="18" outlineLevel="2">
      <c r="A760" s="170"/>
      <c r="B760" s="5">
        <f>D760+G760+J760</f>
        <v>80</v>
      </c>
      <c r="C760" s="5">
        <f>E760+H760+K760</f>
        <v>181.6</v>
      </c>
      <c r="D760" s="5">
        <v>80</v>
      </c>
      <c r="E760" s="8">
        <f>D760*FORECAST(D760,AA$13:AA$14,Z$13:Z$14)</f>
        <v>181.6</v>
      </c>
      <c r="F760" s="5" t="s">
        <v>433</v>
      </c>
      <c r="G760" s="5"/>
      <c r="H760" s="5"/>
      <c r="I760" s="5"/>
      <c r="J760" s="5"/>
      <c r="K760" s="5"/>
      <c r="L760" s="5"/>
      <c r="M760" s="5"/>
      <c r="N760" s="5">
        <v>2500</v>
      </c>
      <c r="O760" s="8">
        <f>C760/0.92</f>
        <v>197.39130434782606</v>
      </c>
      <c r="P760" s="5"/>
      <c r="Q760" s="5"/>
      <c r="R760" s="8">
        <f>1.454*C760</f>
        <v>264.0464</v>
      </c>
      <c r="S760" s="9">
        <f>E760*1.454*0.4</f>
        <v>105.61856</v>
      </c>
      <c r="T760" s="9">
        <f>E760*1.454*0.2</f>
        <v>52.80928</v>
      </c>
      <c r="U760" s="9">
        <f>E760*1.454*0.2</f>
        <v>52.80928</v>
      </c>
      <c r="V760" s="9">
        <f>E760*1.454*0.2</f>
        <v>52.80928</v>
      </c>
      <c r="W760" s="9">
        <f>H760*1.454</f>
        <v>0</v>
      </c>
      <c r="X760" s="9">
        <f>K760*1.454</f>
        <v>0</v>
      </c>
      <c r="Y760" s="4">
        <f t="shared" si="99"/>
        <v>105.61856</v>
      </c>
    </row>
    <row r="761" spans="1:25" ht="36" hidden="1" outlineLevel="1">
      <c r="A761" s="6" t="s">
        <v>434</v>
      </c>
      <c r="B761" s="6">
        <f>B742+B744+B746+B748+B750+B752+B754+B756+B758+B760</f>
        <v>343</v>
      </c>
      <c r="C761" s="19">
        <f>C742+C744+C746+C748+C750+C752+C754+C756+C758+C760</f>
        <v>1032.9154166666665</v>
      </c>
      <c r="D761" s="6">
        <f>D742+D744+D746+D748+D750+D752+D754+D756+D758+D760</f>
        <v>343</v>
      </c>
      <c r="E761" s="19">
        <f>E742+E744+E746+E748+E750+E752+E754+E756+E758+E760</f>
        <v>1032.9154166666665</v>
      </c>
      <c r="F761" s="6" t="s">
        <v>433</v>
      </c>
      <c r="G761" s="6">
        <f>G742+G744+G746+G748+G750+G752+G754+G756+G758+G760</f>
        <v>0</v>
      </c>
      <c r="H761" s="6">
        <f>H742+H744+H746+H748+H750+H752+H754+H756+H758+H760</f>
        <v>0</v>
      </c>
      <c r="I761" s="6" t="s">
        <v>441</v>
      </c>
      <c r="J761" s="6">
        <f>J742+J744+J746+J748+J750+J752+J754+J756+J758+J760</f>
        <v>0</v>
      </c>
      <c r="K761" s="6">
        <f>K742+K744+K746+K748+K750+K752+K754+K756+K758+K760</f>
        <v>0</v>
      </c>
      <c r="L761" s="6" t="s">
        <v>441</v>
      </c>
      <c r="M761" s="6">
        <f aca="true" t="shared" si="110" ref="M761:X761">M742+M744+M746+M748+M750+M752+M754+M756+M758+M760</f>
        <v>0</v>
      </c>
      <c r="N761" s="6">
        <f t="shared" si="110"/>
        <v>8830</v>
      </c>
      <c r="O761" s="19">
        <f t="shared" si="110"/>
        <v>1122.7341485507245</v>
      </c>
      <c r="P761" s="6">
        <f t="shared" si="110"/>
        <v>0</v>
      </c>
      <c r="Q761" s="6">
        <f t="shared" si="110"/>
        <v>0</v>
      </c>
      <c r="R761" s="19">
        <f t="shared" si="110"/>
        <v>1501.8590158333332</v>
      </c>
      <c r="S761" s="19">
        <f t="shared" si="110"/>
        <v>600.7436063333333</v>
      </c>
      <c r="T761" s="19">
        <f t="shared" si="110"/>
        <v>300.37180316666667</v>
      </c>
      <c r="U761" s="19">
        <f t="shared" si="110"/>
        <v>300.37180316666667</v>
      </c>
      <c r="V761" s="19">
        <f t="shared" si="110"/>
        <v>300.37180316666667</v>
      </c>
      <c r="W761" s="19">
        <f t="shared" si="110"/>
        <v>0</v>
      </c>
      <c r="X761" s="19">
        <f t="shared" si="110"/>
        <v>0</v>
      </c>
      <c r="Y761" s="4">
        <f t="shared" si="99"/>
        <v>600.7436063333333</v>
      </c>
    </row>
    <row r="762" spans="1:25" ht="12.75" customHeight="1" outlineLevel="2">
      <c r="A762" s="160">
        <v>1</v>
      </c>
      <c r="B762" s="169" t="s">
        <v>595</v>
      </c>
      <c r="C762" s="169"/>
      <c r="D762" s="169"/>
      <c r="E762" s="169"/>
      <c r="F762" s="169"/>
      <c r="G762" s="169"/>
      <c r="H762" s="169"/>
      <c r="I762" s="169"/>
      <c r="J762" s="169"/>
      <c r="K762" s="169"/>
      <c r="L762" s="169"/>
      <c r="M762" s="169"/>
      <c r="N762" s="169"/>
      <c r="O762" s="169"/>
      <c r="P762" s="169"/>
      <c r="Q762" s="169"/>
      <c r="R762" s="169"/>
      <c r="S762" s="169"/>
      <c r="T762" s="169"/>
      <c r="U762" s="169"/>
      <c r="V762" s="169"/>
      <c r="W762" s="169"/>
      <c r="X762" s="169"/>
      <c r="Y762" s="4">
        <f t="shared" si="99"/>
        <v>0</v>
      </c>
    </row>
    <row r="763" spans="1:25" ht="18" outlineLevel="2">
      <c r="A763" s="160"/>
      <c r="B763" s="5">
        <f>D763+G763+J763</f>
        <v>60</v>
      </c>
      <c r="C763" s="5">
        <f>E763+H763+K763</f>
        <v>142.79999999999998</v>
      </c>
      <c r="D763" s="5">
        <v>60</v>
      </c>
      <c r="E763" s="8">
        <f>D763*FORECAST(D763,AA$13:AA$14,Z$13:Z$14)</f>
        <v>142.79999999999998</v>
      </c>
      <c r="F763" s="5" t="s">
        <v>433</v>
      </c>
      <c r="G763" s="5"/>
      <c r="H763" s="5"/>
      <c r="I763" s="5"/>
      <c r="J763" s="5"/>
      <c r="K763" s="5"/>
      <c r="L763" s="5"/>
      <c r="M763" s="5"/>
      <c r="N763" s="5">
        <v>1000</v>
      </c>
      <c r="O763" s="8">
        <f>C763/0.92</f>
        <v>155.2173913043478</v>
      </c>
      <c r="P763" s="5"/>
      <c r="Q763" s="5"/>
      <c r="R763" s="8">
        <f>1.454*C763</f>
        <v>207.63119999999998</v>
      </c>
      <c r="S763" s="9">
        <f>E763*1.454*0.4</f>
        <v>83.05248</v>
      </c>
      <c r="T763" s="9">
        <f>E763*1.454*0.2</f>
        <v>41.52624</v>
      </c>
      <c r="U763" s="9">
        <f>E763*1.454*0.2</f>
        <v>41.52624</v>
      </c>
      <c r="V763" s="9">
        <f>E763*1.454*0.2</f>
        <v>41.52624</v>
      </c>
      <c r="W763" s="9">
        <f>H763*1.454</f>
        <v>0</v>
      </c>
      <c r="X763" s="9">
        <f>K763*1.454</f>
        <v>0</v>
      </c>
      <c r="Y763" s="4">
        <f aca="true" t="shared" si="111" ref="Y763:Y826">U763*2</f>
        <v>83.05248</v>
      </c>
    </row>
    <row r="764" spans="1:25" ht="12.75" customHeight="1" outlineLevel="2">
      <c r="A764" s="160">
        <v>1</v>
      </c>
      <c r="B764" s="169" t="s">
        <v>491</v>
      </c>
      <c r="C764" s="169"/>
      <c r="D764" s="169"/>
      <c r="E764" s="169"/>
      <c r="F764" s="169"/>
      <c r="G764" s="169"/>
      <c r="H764" s="169"/>
      <c r="I764" s="169"/>
      <c r="J764" s="169"/>
      <c r="K764" s="169"/>
      <c r="L764" s="169"/>
      <c r="M764" s="169"/>
      <c r="N764" s="169"/>
      <c r="O764" s="169"/>
      <c r="P764" s="169"/>
      <c r="Q764" s="169"/>
      <c r="R764" s="169"/>
      <c r="S764" s="169"/>
      <c r="T764" s="169"/>
      <c r="U764" s="169"/>
      <c r="V764" s="169"/>
      <c r="W764" s="169"/>
      <c r="X764" s="169"/>
      <c r="Y764" s="4">
        <f t="shared" si="111"/>
        <v>0</v>
      </c>
    </row>
    <row r="765" spans="1:25" ht="18" outlineLevel="2">
      <c r="A765" s="160"/>
      <c r="B765" s="5">
        <f>D765+G765+J765</f>
        <v>14</v>
      </c>
      <c r="C765" s="8">
        <f>E765+H765+K765</f>
        <v>63.65333333333335</v>
      </c>
      <c r="D765" s="5">
        <v>14</v>
      </c>
      <c r="E765" s="8">
        <f>D765*FORECAST(D765,AA$8:AA$9,Z$8:Z$9)</f>
        <v>63.65333333333335</v>
      </c>
      <c r="F765" s="5" t="s">
        <v>433</v>
      </c>
      <c r="G765" s="5"/>
      <c r="H765" s="5"/>
      <c r="I765" s="5"/>
      <c r="J765" s="5"/>
      <c r="K765" s="5"/>
      <c r="L765" s="5"/>
      <c r="M765" s="5"/>
      <c r="N765" s="5">
        <v>300</v>
      </c>
      <c r="O765" s="8">
        <f>C765/0.92</f>
        <v>69.18840579710147</v>
      </c>
      <c r="P765" s="5"/>
      <c r="Q765" s="5"/>
      <c r="R765" s="8">
        <f>1.454*C765</f>
        <v>92.5519466666667</v>
      </c>
      <c r="S765" s="9">
        <f>E765*1.454*0.4</f>
        <v>37.02077866666668</v>
      </c>
      <c r="T765" s="9">
        <f>E765*1.454*0.2</f>
        <v>18.51038933333334</v>
      </c>
      <c r="U765" s="9">
        <f>E765*1.454*0.2</f>
        <v>18.51038933333334</v>
      </c>
      <c r="V765" s="9">
        <f>E765*1.454*0.2</f>
        <v>18.51038933333334</v>
      </c>
      <c r="W765" s="9">
        <f>H765*1.454</f>
        <v>0</v>
      </c>
      <c r="X765" s="9">
        <f>K765*1.454</f>
        <v>0</v>
      </c>
      <c r="Y765" s="4">
        <f t="shared" si="111"/>
        <v>37.02077866666668</v>
      </c>
    </row>
    <row r="766" spans="1:25" ht="12.75" customHeight="1" outlineLevel="2">
      <c r="A766" s="160">
        <v>1</v>
      </c>
      <c r="B766" s="169" t="s">
        <v>596</v>
      </c>
      <c r="C766" s="169"/>
      <c r="D766" s="169"/>
      <c r="E766" s="169"/>
      <c r="F766" s="169"/>
      <c r="G766" s="169"/>
      <c r="H766" s="169"/>
      <c r="I766" s="169"/>
      <c r="J766" s="169"/>
      <c r="K766" s="169"/>
      <c r="L766" s="169"/>
      <c r="M766" s="169"/>
      <c r="N766" s="169"/>
      <c r="O766" s="169"/>
      <c r="P766" s="169"/>
      <c r="Q766" s="169"/>
      <c r="R766" s="169"/>
      <c r="S766" s="169"/>
      <c r="T766" s="169"/>
      <c r="U766" s="169"/>
      <c r="V766" s="169"/>
      <c r="W766" s="169"/>
      <c r="X766" s="169"/>
      <c r="Y766" s="4">
        <f t="shared" si="111"/>
        <v>0</v>
      </c>
    </row>
    <row r="767" spans="1:25" ht="18" outlineLevel="2">
      <c r="A767" s="160"/>
      <c r="B767" s="5">
        <f>D767+G767+J767</f>
        <v>17</v>
      </c>
      <c r="C767" s="8">
        <f>E767+H767+K767</f>
        <v>69.02</v>
      </c>
      <c r="D767" s="5">
        <v>17</v>
      </c>
      <c r="E767" s="8">
        <f>D767*FORECAST(D767,AA$9:AA$10,Z$9:Z$10)</f>
        <v>69.02</v>
      </c>
      <c r="F767" s="5" t="s">
        <v>433</v>
      </c>
      <c r="G767" s="5"/>
      <c r="H767" s="5"/>
      <c r="I767" s="5"/>
      <c r="J767" s="5"/>
      <c r="K767" s="5"/>
      <c r="L767" s="5"/>
      <c r="M767" s="5"/>
      <c r="N767" s="5">
        <v>500</v>
      </c>
      <c r="O767" s="8">
        <f>C767/0.92</f>
        <v>75.02173913043478</v>
      </c>
      <c r="P767" s="5"/>
      <c r="Q767" s="5"/>
      <c r="R767" s="8">
        <f>1.454*C767</f>
        <v>100.35507999999999</v>
      </c>
      <c r="S767" s="9">
        <f>E767*1.454*0.4</f>
        <v>40.142032</v>
      </c>
      <c r="T767" s="9">
        <f>E767*1.454*0.2</f>
        <v>20.071016</v>
      </c>
      <c r="U767" s="9">
        <f>E767*1.454*0.2</f>
        <v>20.071016</v>
      </c>
      <c r="V767" s="9">
        <f>E767*1.454*0.2</f>
        <v>20.071016</v>
      </c>
      <c r="W767" s="9">
        <f>H767*1.454</f>
        <v>0</v>
      </c>
      <c r="X767" s="9">
        <f>K767*1.454</f>
        <v>0</v>
      </c>
      <c r="Y767" s="4">
        <f t="shared" si="111"/>
        <v>40.142032</v>
      </c>
    </row>
    <row r="768" spans="1:25" ht="12.75" customHeight="1" outlineLevel="2">
      <c r="A768" s="160">
        <v>1</v>
      </c>
      <c r="B768" s="169" t="s">
        <v>597</v>
      </c>
      <c r="C768" s="169"/>
      <c r="D768" s="169"/>
      <c r="E768" s="169"/>
      <c r="F768" s="169"/>
      <c r="G768" s="169"/>
      <c r="H768" s="169"/>
      <c r="I768" s="169"/>
      <c r="J768" s="169"/>
      <c r="K768" s="169"/>
      <c r="L768" s="169"/>
      <c r="M768" s="169"/>
      <c r="N768" s="169"/>
      <c r="O768" s="169"/>
      <c r="P768" s="169"/>
      <c r="Q768" s="169"/>
      <c r="R768" s="169"/>
      <c r="S768" s="169"/>
      <c r="T768" s="169"/>
      <c r="U768" s="169"/>
      <c r="V768" s="169"/>
      <c r="W768" s="169"/>
      <c r="X768" s="169"/>
      <c r="Y768" s="4">
        <f t="shared" si="111"/>
        <v>0</v>
      </c>
    </row>
    <row r="769" spans="1:25" ht="18" outlineLevel="2">
      <c r="A769" s="160"/>
      <c r="B769" s="5">
        <f>D769+G769+J769</f>
        <v>10</v>
      </c>
      <c r="C769" s="8">
        <f>E769+H769+K769</f>
        <v>55.26666666666667</v>
      </c>
      <c r="D769" s="5">
        <v>10</v>
      </c>
      <c r="E769" s="8">
        <f>D769*FORECAST(D769,AA$7:AA$8,Z$7:Z$8)</f>
        <v>55.26666666666667</v>
      </c>
      <c r="F769" s="5" t="s">
        <v>433</v>
      </c>
      <c r="G769" s="5"/>
      <c r="H769" s="5"/>
      <c r="I769" s="5"/>
      <c r="J769" s="5"/>
      <c r="K769" s="5"/>
      <c r="L769" s="5"/>
      <c r="M769" s="5"/>
      <c r="N769" s="5">
        <v>250</v>
      </c>
      <c r="O769" s="8">
        <f>C769/0.92</f>
        <v>60.072463768115945</v>
      </c>
      <c r="P769" s="5"/>
      <c r="Q769" s="5"/>
      <c r="R769" s="8">
        <f>1.454*C769</f>
        <v>80.35773333333334</v>
      </c>
      <c r="S769" s="9">
        <f>E769*1.454*0.4</f>
        <v>32.14309333333334</v>
      </c>
      <c r="T769" s="9">
        <f>E769*1.454*0.2</f>
        <v>16.07154666666667</v>
      </c>
      <c r="U769" s="9">
        <f>E769*1.454*0.2</f>
        <v>16.07154666666667</v>
      </c>
      <c r="V769" s="9">
        <f>E769*1.454*0.2</f>
        <v>16.07154666666667</v>
      </c>
      <c r="W769" s="9">
        <f>H769*1.454</f>
        <v>0</v>
      </c>
      <c r="X769" s="9">
        <f>K769*1.454</f>
        <v>0</v>
      </c>
      <c r="Y769" s="4">
        <f t="shared" si="111"/>
        <v>32.14309333333334</v>
      </c>
    </row>
    <row r="770" spans="1:25" ht="12.75" customHeight="1" outlineLevel="2">
      <c r="A770" s="160">
        <v>1</v>
      </c>
      <c r="B770" s="169" t="s">
        <v>598</v>
      </c>
      <c r="C770" s="169"/>
      <c r="D770" s="169"/>
      <c r="E770" s="169"/>
      <c r="F770" s="169"/>
      <c r="G770" s="169"/>
      <c r="H770" s="169"/>
      <c r="I770" s="169"/>
      <c r="J770" s="169"/>
      <c r="K770" s="169"/>
      <c r="L770" s="169"/>
      <c r="M770" s="169"/>
      <c r="N770" s="169"/>
      <c r="O770" s="169"/>
      <c r="P770" s="169"/>
      <c r="Q770" s="169"/>
      <c r="R770" s="169"/>
      <c r="S770" s="169"/>
      <c r="T770" s="169"/>
      <c r="U770" s="169"/>
      <c r="V770" s="169"/>
      <c r="W770" s="169"/>
      <c r="X770" s="169"/>
      <c r="Y770" s="4">
        <f t="shared" si="111"/>
        <v>0</v>
      </c>
    </row>
    <row r="771" spans="1:25" ht="18" outlineLevel="2">
      <c r="A771" s="160"/>
      <c r="B771" s="5">
        <f>D771+G771+J771</f>
        <v>24</v>
      </c>
      <c r="C771" s="5">
        <f>E771+H771+K771</f>
        <v>80.39999999999999</v>
      </c>
      <c r="D771" s="5">
        <v>24</v>
      </c>
      <c r="E771" s="8">
        <f>D771*FORECAST(D771,AA$10:AA$11,Z$10:Z$11)</f>
        <v>80.39999999999999</v>
      </c>
      <c r="F771" s="5" t="s">
        <v>433</v>
      </c>
      <c r="G771" s="5"/>
      <c r="H771" s="5"/>
      <c r="I771" s="5"/>
      <c r="J771" s="5"/>
      <c r="K771" s="5"/>
      <c r="L771" s="5"/>
      <c r="M771" s="5"/>
      <c r="N771" s="5">
        <v>480</v>
      </c>
      <c r="O771" s="8">
        <f>C771/0.92</f>
        <v>87.39130434782608</v>
      </c>
      <c r="P771" s="5">
        <v>1</v>
      </c>
      <c r="Q771" s="5">
        <v>400</v>
      </c>
      <c r="R771" s="8">
        <f>1.454*C771</f>
        <v>116.90159999999999</v>
      </c>
      <c r="S771" s="9">
        <f>E771*1.454*0.4</f>
        <v>46.760639999999995</v>
      </c>
      <c r="T771" s="9">
        <f>E771*1.454*0.2</f>
        <v>23.380319999999998</v>
      </c>
      <c r="U771" s="9">
        <f>E771*1.454*0.2</f>
        <v>23.380319999999998</v>
      </c>
      <c r="V771" s="9">
        <f>E771*1.454*0.2</f>
        <v>23.380319999999998</v>
      </c>
      <c r="W771" s="9">
        <f>H771*1.454</f>
        <v>0</v>
      </c>
      <c r="X771" s="9">
        <f>K771*1.454</f>
        <v>0</v>
      </c>
      <c r="Y771" s="4">
        <f t="shared" si="111"/>
        <v>46.760639999999995</v>
      </c>
    </row>
    <row r="772" spans="1:25" ht="12.75" customHeight="1" outlineLevel="2">
      <c r="A772" s="160">
        <v>2</v>
      </c>
      <c r="B772" s="169" t="s">
        <v>599</v>
      </c>
      <c r="C772" s="169"/>
      <c r="D772" s="169"/>
      <c r="E772" s="169"/>
      <c r="F772" s="169"/>
      <c r="G772" s="169"/>
      <c r="H772" s="169"/>
      <c r="I772" s="169"/>
      <c r="J772" s="169"/>
      <c r="K772" s="169"/>
      <c r="L772" s="169"/>
      <c r="M772" s="169"/>
      <c r="N772" s="169"/>
      <c r="O772" s="169"/>
      <c r="P772" s="169"/>
      <c r="Q772" s="169"/>
      <c r="R772" s="169"/>
      <c r="S772" s="169"/>
      <c r="T772" s="169"/>
      <c r="U772" s="169"/>
      <c r="V772" s="169"/>
      <c r="W772" s="169"/>
      <c r="X772" s="169"/>
      <c r="Y772" s="4">
        <f t="shared" si="111"/>
        <v>0</v>
      </c>
    </row>
    <row r="773" spans="1:25" ht="18" outlineLevel="2">
      <c r="A773" s="160"/>
      <c r="B773" s="5">
        <f>D773+G773+J773</f>
        <v>24</v>
      </c>
      <c r="C773" s="5">
        <f>E773+H773+K773</f>
        <v>80.39999999999999</v>
      </c>
      <c r="D773" s="5">
        <v>24</v>
      </c>
      <c r="E773" s="8">
        <f>D773*FORECAST(D773,AA$10:AA$11,Z$10:Z$11)</f>
        <v>80.39999999999999</v>
      </c>
      <c r="F773" s="5" t="s">
        <v>433</v>
      </c>
      <c r="G773" s="5"/>
      <c r="H773" s="5"/>
      <c r="I773" s="5"/>
      <c r="J773" s="5"/>
      <c r="K773" s="5"/>
      <c r="L773" s="5"/>
      <c r="M773" s="5"/>
      <c r="N773" s="5">
        <v>480</v>
      </c>
      <c r="O773" s="8">
        <f>C773/0.92</f>
        <v>87.39130434782608</v>
      </c>
      <c r="P773" s="5"/>
      <c r="Q773" s="5"/>
      <c r="R773" s="8">
        <f>1.454*C773</f>
        <v>116.90159999999999</v>
      </c>
      <c r="S773" s="9">
        <f>E773*1.454*0.4</f>
        <v>46.760639999999995</v>
      </c>
      <c r="T773" s="9">
        <f>E773*1.454*0.2</f>
        <v>23.380319999999998</v>
      </c>
      <c r="U773" s="9">
        <f>E773*1.454*0.2</f>
        <v>23.380319999999998</v>
      </c>
      <c r="V773" s="9">
        <f>E773*1.454*0.2</f>
        <v>23.380319999999998</v>
      </c>
      <c r="W773" s="9">
        <f>H773*1.454</f>
        <v>0</v>
      </c>
      <c r="X773" s="9">
        <f>K773*1.454</f>
        <v>0</v>
      </c>
      <c r="Y773" s="4">
        <f t="shared" si="111"/>
        <v>46.760639999999995</v>
      </c>
    </row>
    <row r="774" spans="1:25" ht="36" outlineLevel="2">
      <c r="A774" s="6" t="s">
        <v>431</v>
      </c>
      <c r="B774" s="7">
        <f>B771+B773</f>
        <v>48</v>
      </c>
      <c r="C774" s="7">
        <f>C771+C773</f>
        <v>160.79999999999998</v>
      </c>
      <c r="D774" s="7">
        <f>D771+D773</f>
        <v>48</v>
      </c>
      <c r="E774" s="7">
        <f>E771+E773</f>
        <v>160.79999999999998</v>
      </c>
      <c r="F774" s="7" t="s">
        <v>433</v>
      </c>
      <c r="G774" s="7">
        <f>G771+G773</f>
        <v>0</v>
      </c>
      <c r="H774" s="7">
        <f>H771+H773</f>
        <v>0</v>
      </c>
      <c r="I774" s="7" t="s">
        <v>441</v>
      </c>
      <c r="J774" s="7">
        <f>J771+J773</f>
        <v>0</v>
      </c>
      <c r="K774" s="7">
        <f>K771+K773</f>
        <v>0</v>
      </c>
      <c r="L774" s="7" t="s">
        <v>441</v>
      </c>
      <c r="M774" s="7">
        <f aca="true" t="shared" si="112" ref="M774:R774">M771+M773</f>
        <v>0</v>
      </c>
      <c r="N774" s="7">
        <f t="shared" si="112"/>
        <v>960</v>
      </c>
      <c r="O774" s="10">
        <f t="shared" si="112"/>
        <v>174.78260869565216</v>
      </c>
      <c r="P774" s="7">
        <f t="shared" si="112"/>
        <v>1</v>
      </c>
      <c r="Q774" s="7">
        <f t="shared" si="112"/>
        <v>400</v>
      </c>
      <c r="R774" s="10">
        <f t="shared" si="112"/>
        <v>233.80319999999998</v>
      </c>
      <c r="S774" s="10">
        <f aca="true" t="shared" si="113" ref="S774:X774">S771+S773</f>
        <v>93.52127999999999</v>
      </c>
      <c r="T774" s="10">
        <f t="shared" si="113"/>
        <v>46.760639999999995</v>
      </c>
      <c r="U774" s="10">
        <f t="shared" si="113"/>
        <v>46.760639999999995</v>
      </c>
      <c r="V774" s="10">
        <f t="shared" si="113"/>
        <v>46.760639999999995</v>
      </c>
      <c r="W774" s="10">
        <f t="shared" si="113"/>
        <v>0</v>
      </c>
      <c r="X774" s="10">
        <f t="shared" si="113"/>
        <v>0</v>
      </c>
      <c r="Y774" s="4">
        <f t="shared" si="111"/>
        <v>93.52127999999999</v>
      </c>
    </row>
    <row r="775" spans="1:25" ht="36" hidden="1" outlineLevel="1">
      <c r="A775" s="6" t="s">
        <v>435</v>
      </c>
      <c r="B775" s="6">
        <f>B763+B765+B767+B769+B774</f>
        <v>149</v>
      </c>
      <c r="C775" s="19">
        <f>C763+C765+C767+C769+C774</f>
        <v>491.53999999999996</v>
      </c>
      <c r="D775" s="6">
        <f>D763+D765+D767+D769+D774</f>
        <v>149</v>
      </c>
      <c r="E775" s="19">
        <f>E763+E765+E767+E769+E774</f>
        <v>491.53999999999996</v>
      </c>
      <c r="F775" s="6" t="s">
        <v>433</v>
      </c>
      <c r="G775" s="6">
        <f>G763+G765+G767+G769+G774</f>
        <v>0</v>
      </c>
      <c r="H775" s="6">
        <f>H763+H765+H767+H769+H774</f>
        <v>0</v>
      </c>
      <c r="I775" s="6" t="s">
        <v>441</v>
      </c>
      <c r="J775" s="6">
        <f>J763+J765+J767+J769+J774</f>
        <v>0</v>
      </c>
      <c r="K775" s="6">
        <f>K763+K765+K767+K769+K774</f>
        <v>0</v>
      </c>
      <c r="L775" s="6" t="s">
        <v>441</v>
      </c>
      <c r="M775" s="6">
        <f aca="true" t="shared" si="114" ref="M775:R775">M763+M765+M767+M769+M774</f>
        <v>0</v>
      </c>
      <c r="N775" s="6">
        <f t="shared" si="114"/>
        <v>3010</v>
      </c>
      <c r="O775" s="19">
        <f t="shared" si="114"/>
        <v>534.2826086956521</v>
      </c>
      <c r="P775" s="6">
        <f t="shared" si="114"/>
        <v>1</v>
      </c>
      <c r="Q775" s="6">
        <f t="shared" si="114"/>
        <v>400</v>
      </c>
      <c r="R775" s="19">
        <f t="shared" si="114"/>
        <v>714.69916</v>
      </c>
      <c r="S775" s="19">
        <f aca="true" t="shared" si="115" ref="S775:X775">S763+S765+S767+S769+S774</f>
        <v>285.879664</v>
      </c>
      <c r="T775" s="19">
        <f t="shared" si="115"/>
        <v>142.939832</v>
      </c>
      <c r="U775" s="19">
        <f t="shared" si="115"/>
        <v>142.939832</v>
      </c>
      <c r="V775" s="19">
        <f t="shared" si="115"/>
        <v>142.939832</v>
      </c>
      <c r="W775" s="19">
        <f t="shared" si="115"/>
        <v>0</v>
      </c>
      <c r="X775" s="19">
        <f t="shared" si="115"/>
        <v>0</v>
      </c>
      <c r="Y775" s="4">
        <f t="shared" si="111"/>
        <v>285.879664</v>
      </c>
    </row>
    <row r="776" spans="1:25" ht="12.75" customHeight="1" outlineLevel="2">
      <c r="A776" s="160">
        <v>1</v>
      </c>
      <c r="B776" s="169" t="s">
        <v>673</v>
      </c>
      <c r="C776" s="169"/>
      <c r="D776" s="169"/>
      <c r="E776" s="169"/>
      <c r="F776" s="169"/>
      <c r="G776" s="169"/>
      <c r="H776" s="169"/>
      <c r="I776" s="169"/>
      <c r="J776" s="169"/>
      <c r="K776" s="169"/>
      <c r="L776" s="169"/>
      <c r="M776" s="169"/>
      <c r="N776" s="169"/>
      <c r="O776" s="169"/>
      <c r="P776" s="169"/>
      <c r="Q776" s="169"/>
      <c r="R776" s="169"/>
      <c r="S776" s="169"/>
      <c r="T776" s="169"/>
      <c r="U776" s="169"/>
      <c r="V776" s="169"/>
      <c r="W776" s="169"/>
      <c r="X776" s="169"/>
      <c r="Y776" s="4">
        <f t="shared" si="111"/>
        <v>0</v>
      </c>
    </row>
    <row r="777" spans="1:25" ht="18" outlineLevel="2">
      <c r="A777" s="160"/>
      <c r="B777" s="5">
        <f>D777+G777+J777</f>
        <v>42</v>
      </c>
      <c r="C777" s="8">
        <f>E777+H777+K777</f>
        <v>110.54400000000001</v>
      </c>
      <c r="D777" s="5">
        <v>42</v>
      </c>
      <c r="E777" s="8">
        <f>D777*FORECAST(D777,AA$12:AA$13,Z$12:Z$13)</f>
        <v>110.54400000000001</v>
      </c>
      <c r="F777" s="5" t="s">
        <v>433</v>
      </c>
      <c r="G777" s="5"/>
      <c r="H777" s="5"/>
      <c r="I777" s="5"/>
      <c r="J777" s="5"/>
      <c r="K777" s="5"/>
      <c r="L777" s="5"/>
      <c r="M777" s="5"/>
      <c r="N777" s="5">
        <v>1000</v>
      </c>
      <c r="O777" s="8">
        <f>C777/0.92</f>
        <v>120.15652173913044</v>
      </c>
      <c r="P777" s="5">
        <v>1</v>
      </c>
      <c r="Q777" s="5">
        <v>500</v>
      </c>
      <c r="R777" s="8">
        <f>1.454*C777</f>
        <v>160.730976</v>
      </c>
      <c r="S777" s="9">
        <f>E777*1.454*0.4</f>
        <v>64.2923904</v>
      </c>
      <c r="T777" s="9">
        <f>E777*1.454*0.2</f>
        <v>32.1461952</v>
      </c>
      <c r="U777" s="9">
        <f>E777*1.454*0.2</f>
        <v>32.1461952</v>
      </c>
      <c r="V777" s="9">
        <f>E777*1.454*0.2</f>
        <v>32.1461952</v>
      </c>
      <c r="W777" s="9">
        <f>H777*1.454</f>
        <v>0</v>
      </c>
      <c r="X777" s="9">
        <f>K777*1.454</f>
        <v>0</v>
      </c>
      <c r="Y777" s="4">
        <f t="shared" si="111"/>
        <v>64.2923904</v>
      </c>
    </row>
    <row r="778" spans="1:25" ht="12.75" customHeight="1" outlineLevel="2">
      <c r="A778" s="160">
        <v>1</v>
      </c>
      <c r="B778" s="169" t="s">
        <v>600</v>
      </c>
      <c r="C778" s="169"/>
      <c r="D778" s="169"/>
      <c r="E778" s="169"/>
      <c r="F778" s="169"/>
      <c r="G778" s="169"/>
      <c r="H778" s="169"/>
      <c r="I778" s="169"/>
      <c r="J778" s="169"/>
      <c r="K778" s="169"/>
      <c r="L778" s="169"/>
      <c r="M778" s="169"/>
      <c r="N778" s="169"/>
      <c r="O778" s="169"/>
      <c r="P778" s="169"/>
      <c r="Q778" s="169"/>
      <c r="R778" s="169"/>
      <c r="S778" s="169"/>
      <c r="T778" s="169"/>
      <c r="U778" s="169"/>
      <c r="V778" s="169"/>
      <c r="W778" s="169"/>
      <c r="X778" s="169"/>
      <c r="Y778" s="4">
        <f t="shared" si="111"/>
        <v>0</v>
      </c>
    </row>
    <row r="779" spans="1:25" ht="18" outlineLevel="2">
      <c r="A779" s="160"/>
      <c r="B779" s="5">
        <f>D779+G779+J779</f>
        <v>60</v>
      </c>
      <c r="C779" s="5">
        <f>E779+H779+K779</f>
        <v>142.79999999999998</v>
      </c>
      <c r="D779" s="5">
        <v>60</v>
      </c>
      <c r="E779" s="8">
        <f>D779*FORECAST(D779,AA$12:AA$13,Z$12:Z$13)</f>
        <v>142.79999999999998</v>
      </c>
      <c r="F779" s="5" t="s">
        <v>433</v>
      </c>
      <c r="G779" s="5"/>
      <c r="H779" s="5"/>
      <c r="I779" s="5"/>
      <c r="J779" s="5"/>
      <c r="K779" s="5"/>
      <c r="L779" s="5"/>
      <c r="M779" s="5"/>
      <c r="N779" s="5">
        <v>1100</v>
      </c>
      <c r="O779" s="8">
        <f>C779/0.92</f>
        <v>155.2173913043478</v>
      </c>
      <c r="P779" s="5">
        <v>0</v>
      </c>
      <c r="Q779" s="5">
        <v>0</v>
      </c>
      <c r="R779" s="8">
        <f>1.454*C779</f>
        <v>207.63119999999998</v>
      </c>
      <c r="S779" s="9">
        <f>E779*1.454*0.4</f>
        <v>83.05248</v>
      </c>
      <c r="T779" s="9">
        <f>E779*1.454*0.2</f>
        <v>41.52624</v>
      </c>
      <c r="U779" s="9">
        <f>E779*1.454*0.2</f>
        <v>41.52624</v>
      </c>
      <c r="V779" s="9">
        <f>E779*1.454*0.2</f>
        <v>41.52624</v>
      </c>
      <c r="W779" s="9">
        <f>H779*1.454</f>
        <v>0</v>
      </c>
      <c r="X779" s="9">
        <f>K779*1.454</f>
        <v>0</v>
      </c>
      <c r="Y779" s="4">
        <f t="shared" si="111"/>
        <v>83.05248</v>
      </c>
    </row>
    <row r="780" spans="1:24" s="63" customFormat="1" ht="15.75" customHeight="1">
      <c r="A780" s="169" t="s">
        <v>720</v>
      </c>
      <c r="B780" s="169"/>
      <c r="C780" s="169"/>
      <c r="D780" s="169"/>
      <c r="E780" s="169"/>
      <c r="F780" s="169"/>
      <c r="G780" s="169"/>
      <c r="H780" s="169"/>
      <c r="I780" s="169"/>
      <c r="J780" s="169"/>
      <c r="K780" s="169"/>
      <c r="L780" s="169"/>
      <c r="M780" s="169"/>
      <c r="N780" s="169"/>
      <c r="O780" s="169"/>
      <c r="P780" s="169"/>
      <c r="Q780" s="169"/>
      <c r="R780" s="169"/>
      <c r="S780" s="169"/>
      <c r="T780" s="169"/>
      <c r="U780" s="169"/>
      <c r="V780" s="169"/>
      <c r="W780" s="169"/>
      <c r="X780" s="88"/>
    </row>
    <row r="781" spans="1:24" s="63" customFormat="1" ht="21" customHeight="1">
      <c r="A781" s="71">
        <v>1</v>
      </c>
      <c r="B781" s="72">
        <v>16</v>
      </c>
      <c r="C781" s="72">
        <v>76</v>
      </c>
      <c r="D781" s="72">
        <v>14</v>
      </c>
      <c r="E781" s="72">
        <v>68</v>
      </c>
      <c r="F781" s="73" t="s">
        <v>433</v>
      </c>
      <c r="G781" s="73"/>
      <c r="H781" s="73"/>
      <c r="I781" s="73"/>
      <c r="J781" s="72">
        <v>2</v>
      </c>
      <c r="K781" s="72">
        <v>8</v>
      </c>
      <c r="L781" s="73" t="s">
        <v>433</v>
      </c>
      <c r="M781" s="73"/>
      <c r="N781" s="74">
        <v>300</v>
      </c>
      <c r="O781" s="74">
        <v>76</v>
      </c>
      <c r="P781" s="74">
        <v>1</v>
      </c>
      <c r="Q781" s="72">
        <v>400</v>
      </c>
      <c r="R781" s="74">
        <v>160</v>
      </c>
      <c r="S781" s="74">
        <v>64</v>
      </c>
      <c r="T781" s="74">
        <v>32</v>
      </c>
      <c r="U781" s="74">
        <v>32</v>
      </c>
      <c r="V781" s="74">
        <v>32</v>
      </c>
      <c r="W781" s="74">
        <v>0</v>
      </c>
      <c r="X781" s="74">
        <v>0</v>
      </c>
    </row>
    <row r="782" spans="1:24" s="63" customFormat="1" ht="16.5" customHeight="1">
      <c r="A782" s="169" t="s">
        <v>48</v>
      </c>
      <c r="B782" s="169"/>
      <c r="C782" s="169"/>
      <c r="D782" s="169"/>
      <c r="E782" s="169"/>
      <c r="F782" s="169"/>
      <c r="G782" s="169"/>
      <c r="H782" s="169"/>
      <c r="I782" s="169"/>
      <c r="J782" s="169"/>
      <c r="K782" s="169"/>
      <c r="L782" s="169"/>
      <c r="M782" s="169"/>
      <c r="N782" s="169"/>
      <c r="O782" s="169"/>
      <c r="P782" s="169"/>
      <c r="Q782" s="169"/>
      <c r="R782" s="169"/>
      <c r="S782" s="169"/>
      <c r="T782" s="169"/>
      <c r="U782" s="169"/>
      <c r="V782" s="169"/>
      <c r="W782" s="169"/>
      <c r="X782" s="88"/>
    </row>
    <row r="783" spans="1:24" s="63" customFormat="1" ht="22.5" customHeight="1">
      <c r="A783" s="71">
        <v>1</v>
      </c>
      <c r="B783" s="72">
        <v>17</v>
      </c>
      <c r="C783" s="72">
        <v>200</v>
      </c>
      <c r="D783" s="72">
        <v>17</v>
      </c>
      <c r="E783" s="72">
        <v>200</v>
      </c>
      <c r="F783" s="73" t="s">
        <v>433</v>
      </c>
      <c r="G783" s="73"/>
      <c r="H783" s="73"/>
      <c r="I783" s="73"/>
      <c r="J783" s="73"/>
      <c r="K783" s="73"/>
      <c r="L783" s="73"/>
      <c r="M783" s="73"/>
      <c r="N783" s="72">
        <v>750</v>
      </c>
      <c r="O783" s="72">
        <v>200</v>
      </c>
      <c r="P783" s="72"/>
      <c r="Q783" s="72"/>
      <c r="R783" s="72">
        <v>100</v>
      </c>
      <c r="S783" s="74">
        <v>40</v>
      </c>
      <c r="T783" s="74">
        <v>20</v>
      </c>
      <c r="U783" s="74">
        <v>20</v>
      </c>
      <c r="V783" s="74">
        <v>20</v>
      </c>
      <c r="W783" s="74">
        <v>0</v>
      </c>
      <c r="X783" s="74">
        <v>0</v>
      </c>
    </row>
    <row r="784" spans="1:25" ht="36" outlineLevel="1">
      <c r="A784" s="6" t="s">
        <v>437</v>
      </c>
      <c r="B784" s="24">
        <f>B777+B779+B761+B775+B781+B783</f>
        <v>627</v>
      </c>
      <c r="C784" s="24">
        <f aca="true" t="shared" si="116" ref="C784:X784">C777+C779+C761+C775+C781+C783</f>
        <v>2053.7994166666667</v>
      </c>
      <c r="D784" s="24">
        <f t="shared" si="116"/>
        <v>625</v>
      </c>
      <c r="E784" s="24">
        <f t="shared" si="116"/>
        <v>2045.7994166666665</v>
      </c>
      <c r="F784" s="24" t="s">
        <v>433</v>
      </c>
      <c r="G784" s="24">
        <f t="shared" si="116"/>
        <v>0</v>
      </c>
      <c r="H784" s="24">
        <f t="shared" si="116"/>
        <v>0</v>
      </c>
      <c r="I784" s="24" t="s">
        <v>441</v>
      </c>
      <c r="J784" s="24">
        <f t="shared" si="116"/>
        <v>2</v>
      </c>
      <c r="K784" s="24">
        <f t="shared" si="116"/>
        <v>8</v>
      </c>
      <c r="L784" s="24" t="s">
        <v>433</v>
      </c>
      <c r="M784" s="24">
        <f t="shared" si="116"/>
        <v>0</v>
      </c>
      <c r="N784" s="24">
        <f t="shared" si="116"/>
        <v>14990</v>
      </c>
      <c r="O784" s="24">
        <f t="shared" si="116"/>
        <v>2208.390670289855</v>
      </c>
      <c r="P784" s="24">
        <f t="shared" si="116"/>
        <v>3</v>
      </c>
      <c r="Q784" s="24">
        <f t="shared" si="116"/>
        <v>1300</v>
      </c>
      <c r="R784" s="19">
        <f t="shared" si="116"/>
        <v>2844.9203518333334</v>
      </c>
      <c r="S784" s="19">
        <f t="shared" si="116"/>
        <v>1137.9681407333333</v>
      </c>
      <c r="T784" s="19">
        <f t="shared" si="116"/>
        <v>568.9840703666666</v>
      </c>
      <c r="U784" s="19">
        <f t="shared" si="116"/>
        <v>568.9840703666666</v>
      </c>
      <c r="V784" s="19">
        <f t="shared" si="116"/>
        <v>568.9840703666666</v>
      </c>
      <c r="W784" s="19">
        <f t="shared" si="116"/>
        <v>0</v>
      </c>
      <c r="X784" s="19">
        <f t="shared" si="116"/>
        <v>0</v>
      </c>
      <c r="Y784" s="4">
        <f t="shared" si="111"/>
        <v>1137.9681407333333</v>
      </c>
    </row>
    <row r="785" spans="1:25" ht="108">
      <c r="A785" s="6" t="s">
        <v>732</v>
      </c>
      <c r="B785" s="24">
        <f>B784</f>
        <v>627</v>
      </c>
      <c r="C785" s="24">
        <f aca="true" t="shared" si="117" ref="C785:X785">C784</f>
        <v>2053.7994166666667</v>
      </c>
      <c r="D785" s="24">
        <f t="shared" si="117"/>
        <v>625</v>
      </c>
      <c r="E785" s="24">
        <f t="shared" si="117"/>
        <v>2045.7994166666665</v>
      </c>
      <c r="F785" s="6" t="str">
        <f t="shared" si="117"/>
        <v>ІІІ</v>
      </c>
      <c r="G785" s="6">
        <f t="shared" si="117"/>
        <v>0</v>
      </c>
      <c r="H785" s="6">
        <f t="shared" si="117"/>
        <v>0</v>
      </c>
      <c r="I785" s="6" t="str">
        <f t="shared" si="117"/>
        <v>-</v>
      </c>
      <c r="J785" s="6">
        <f t="shared" si="117"/>
        <v>2</v>
      </c>
      <c r="K785" s="6">
        <f t="shared" si="117"/>
        <v>8</v>
      </c>
      <c r="L785" s="6" t="str">
        <f t="shared" si="117"/>
        <v>ІІІ</v>
      </c>
      <c r="M785" s="6">
        <f t="shared" si="117"/>
        <v>0</v>
      </c>
      <c r="N785" s="6">
        <f t="shared" si="117"/>
        <v>14990</v>
      </c>
      <c r="O785" s="19">
        <f t="shared" si="117"/>
        <v>2208.390670289855</v>
      </c>
      <c r="P785" s="6">
        <f t="shared" si="117"/>
        <v>3</v>
      </c>
      <c r="Q785" s="6">
        <f t="shared" si="117"/>
        <v>1300</v>
      </c>
      <c r="R785" s="19">
        <f t="shared" si="117"/>
        <v>2844.9203518333334</v>
      </c>
      <c r="S785" s="19">
        <f t="shared" si="117"/>
        <v>1137.9681407333333</v>
      </c>
      <c r="T785" s="19">
        <f t="shared" si="117"/>
        <v>568.9840703666666</v>
      </c>
      <c r="U785" s="19">
        <f t="shared" si="117"/>
        <v>568.9840703666666</v>
      </c>
      <c r="V785" s="19">
        <f t="shared" si="117"/>
        <v>568.9840703666666</v>
      </c>
      <c r="W785" s="6">
        <f t="shared" si="117"/>
        <v>0</v>
      </c>
      <c r="X785" s="6">
        <f t="shared" si="117"/>
        <v>0</v>
      </c>
      <c r="Y785" s="4">
        <f t="shared" si="111"/>
        <v>1137.9681407333333</v>
      </c>
    </row>
    <row r="786" spans="1:25" ht="18">
      <c r="A786" s="171" t="s">
        <v>451</v>
      </c>
      <c r="B786" s="171"/>
      <c r="C786" s="171"/>
      <c r="D786" s="171"/>
      <c r="E786" s="171"/>
      <c r="F786" s="171"/>
      <c r="G786" s="171"/>
      <c r="H786" s="171"/>
      <c r="I786" s="171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4">
        <f t="shared" si="111"/>
        <v>0</v>
      </c>
    </row>
    <row r="787" spans="1:25" ht="18.75" outlineLevel="1">
      <c r="A787" s="13">
        <v>1</v>
      </c>
      <c r="B787" s="13">
        <v>2</v>
      </c>
      <c r="C787" s="13">
        <v>3</v>
      </c>
      <c r="D787" s="13">
        <v>4</v>
      </c>
      <c r="E787" s="13">
        <v>5</v>
      </c>
      <c r="F787" s="13">
        <v>6</v>
      </c>
      <c r="G787" s="13">
        <v>7</v>
      </c>
      <c r="H787" s="13">
        <v>8</v>
      </c>
      <c r="I787" s="13">
        <v>9</v>
      </c>
      <c r="J787" s="13">
        <v>10</v>
      </c>
      <c r="K787" s="13">
        <v>11</v>
      </c>
      <c r="L787" s="13">
        <v>12</v>
      </c>
      <c r="M787" s="13">
        <v>13</v>
      </c>
      <c r="N787" s="13">
        <v>14</v>
      </c>
      <c r="O787" s="13">
        <v>15</v>
      </c>
      <c r="P787" s="13">
        <v>16</v>
      </c>
      <c r="Q787" s="13">
        <v>17</v>
      </c>
      <c r="R787" s="13">
        <v>18</v>
      </c>
      <c r="S787" s="89">
        <v>19</v>
      </c>
      <c r="T787" s="14">
        <v>20</v>
      </c>
      <c r="U787" s="14">
        <v>21</v>
      </c>
      <c r="V787" s="14">
        <v>22</v>
      </c>
      <c r="W787" s="14">
        <v>23</v>
      </c>
      <c r="X787" s="14">
        <v>24</v>
      </c>
      <c r="Y787" s="4">
        <f t="shared" si="111"/>
        <v>42</v>
      </c>
    </row>
    <row r="788" spans="1:25" ht="12.75" customHeight="1" outlineLevel="1">
      <c r="A788" s="161" t="s">
        <v>430</v>
      </c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4">
        <f t="shared" si="111"/>
        <v>0</v>
      </c>
    </row>
    <row r="789" spans="1:25" ht="12.75" customHeight="1" outlineLevel="2">
      <c r="A789" s="170">
        <v>1</v>
      </c>
      <c r="B789" s="162" t="s">
        <v>601</v>
      </c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4">
        <f t="shared" si="111"/>
        <v>0</v>
      </c>
    </row>
    <row r="790" spans="1:25" ht="18" outlineLevel="2">
      <c r="A790" s="170"/>
      <c r="B790" s="5">
        <f>D790+G790+J790</f>
        <v>55</v>
      </c>
      <c r="C790" s="8">
        <f>E790+H790+K790</f>
        <v>134.75</v>
      </c>
      <c r="D790" s="5">
        <v>55</v>
      </c>
      <c r="E790" s="8">
        <f>D790*FORECAST(D790,AA$12:AA$13,Z$12:Z$13)</f>
        <v>134.75</v>
      </c>
      <c r="F790" s="5" t="s">
        <v>433</v>
      </c>
      <c r="G790" s="5"/>
      <c r="H790" s="5"/>
      <c r="I790" s="5"/>
      <c r="J790" s="5"/>
      <c r="K790" s="5"/>
      <c r="L790" s="5"/>
      <c r="M790" s="5"/>
      <c r="N790" s="5">
        <v>1400</v>
      </c>
      <c r="O790" s="8">
        <f>C790/0.92</f>
        <v>146.4673913043478</v>
      </c>
      <c r="P790" s="5"/>
      <c r="Q790" s="5"/>
      <c r="R790" s="8">
        <f>1.454*C790</f>
        <v>195.9265</v>
      </c>
      <c r="S790" s="9">
        <f>E790*1.454*0.4</f>
        <v>78.37060000000001</v>
      </c>
      <c r="T790" s="9">
        <f>E790*1.454*0.2</f>
        <v>39.185300000000005</v>
      </c>
      <c r="U790" s="9">
        <f>E790*1.454*0.2</f>
        <v>39.185300000000005</v>
      </c>
      <c r="V790" s="9">
        <f>E790*1.454*0.2</f>
        <v>39.185300000000005</v>
      </c>
      <c r="W790" s="9">
        <f>H790*1.454</f>
        <v>0</v>
      </c>
      <c r="X790" s="9">
        <f>K790*1.454</f>
        <v>0</v>
      </c>
      <c r="Y790" s="4">
        <f t="shared" si="111"/>
        <v>78.37060000000001</v>
      </c>
    </row>
    <row r="791" spans="1:25" ht="12.75" customHeight="1" outlineLevel="2">
      <c r="A791" s="170">
        <v>2</v>
      </c>
      <c r="B791" s="162" t="s">
        <v>602</v>
      </c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4">
        <f t="shared" si="111"/>
        <v>0</v>
      </c>
    </row>
    <row r="792" spans="1:25" ht="18" outlineLevel="2">
      <c r="A792" s="170"/>
      <c r="B792" s="5">
        <f>D792+G792+J792</f>
        <v>16</v>
      </c>
      <c r="C792" s="8">
        <f>E792+H792+K792</f>
        <v>67.19999999999999</v>
      </c>
      <c r="D792" s="5">
        <v>16</v>
      </c>
      <c r="E792" s="8">
        <f>D792*FORECAST(D792,AA$9:AA$10,Z$9:Z$10)</f>
        <v>67.19999999999999</v>
      </c>
      <c r="F792" s="5" t="s">
        <v>433</v>
      </c>
      <c r="G792" s="5"/>
      <c r="H792" s="5"/>
      <c r="I792" s="5"/>
      <c r="J792" s="5"/>
      <c r="K792" s="5"/>
      <c r="L792" s="5"/>
      <c r="M792" s="5"/>
      <c r="N792" s="5">
        <v>400</v>
      </c>
      <c r="O792" s="8">
        <f>C792/0.92</f>
        <v>73.04347826086955</v>
      </c>
      <c r="P792" s="5"/>
      <c r="Q792" s="5"/>
      <c r="R792" s="8">
        <f>1.454*C792</f>
        <v>97.70879999999998</v>
      </c>
      <c r="S792" s="9">
        <f>E792*1.454*0.4</f>
        <v>39.08351999999999</v>
      </c>
      <c r="T792" s="9">
        <f>E792*1.454*0.2</f>
        <v>19.541759999999996</v>
      </c>
      <c r="U792" s="9">
        <f>E792*1.454*0.2</f>
        <v>19.541759999999996</v>
      </c>
      <c r="V792" s="9">
        <f>E792*1.454*0.2</f>
        <v>19.541759999999996</v>
      </c>
      <c r="W792" s="9">
        <f>H792*1.454</f>
        <v>0</v>
      </c>
      <c r="X792" s="9">
        <f>K792*1.454</f>
        <v>0</v>
      </c>
      <c r="Y792" s="4">
        <f t="shared" si="111"/>
        <v>39.08351999999999</v>
      </c>
    </row>
    <row r="793" spans="1:25" ht="36" outlineLevel="2">
      <c r="A793" s="6" t="s">
        <v>431</v>
      </c>
      <c r="B793" s="7">
        <f>B790+B792</f>
        <v>71</v>
      </c>
      <c r="C793" s="10">
        <f>C790+C792</f>
        <v>201.95</v>
      </c>
      <c r="D793" s="7">
        <f>D790+D792</f>
        <v>71</v>
      </c>
      <c r="E793" s="10">
        <f>E790+E792</f>
        <v>201.95</v>
      </c>
      <c r="F793" s="7" t="s">
        <v>433</v>
      </c>
      <c r="G793" s="7">
        <f>G790+G792</f>
        <v>0</v>
      </c>
      <c r="H793" s="7">
        <f>H790+H792</f>
        <v>0</v>
      </c>
      <c r="I793" s="7" t="s">
        <v>441</v>
      </c>
      <c r="J793" s="7">
        <f>J790+J792</f>
        <v>0</v>
      </c>
      <c r="K793" s="7">
        <f>K790+K792</f>
        <v>0</v>
      </c>
      <c r="L793" s="7" t="s">
        <v>441</v>
      </c>
      <c r="M793" s="7">
        <f aca="true" t="shared" si="118" ref="M793:X793">M790+M792</f>
        <v>0</v>
      </c>
      <c r="N793" s="7">
        <f t="shared" si="118"/>
        <v>1800</v>
      </c>
      <c r="O793" s="10">
        <f t="shared" si="118"/>
        <v>219.51086956521738</v>
      </c>
      <c r="P793" s="7">
        <f t="shared" si="118"/>
        <v>0</v>
      </c>
      <c r="Q793" s="7">
        <f t="shared" si="118"/>
        <v>0</v>
      </c>
      <c r="R793" s="10">
        <f t="shared" si="118"/>
        <v>293.6353</v>
      </c>
      <c r="S793" s="10">
        <f t="shared" si="118"/>
        <v>117.45412</v>
      </c>
      <c r="T793" s="10">
        <f t="shared" si="118"/>
        <v>58.72706</v>
      </c>
      <c r="U793" s="10">
        <f t="shared" si="118"/>
        <v>58.72706</v>
      </c>
      <c r="V793" s="10">
        <f t="shared" si="118"/>
        <v>58.72706</v>
      </c>
      <c r="W793" s="10">
        <f t="shared" si="118"/>
        <v>0</v>
      </c>
      <c r="X793" s="10">
        <f t="shared" si="118"/>
        <v>0</v>
      </c>
      <c r="Y793" s="4">
        <f t="shared" si="111"/>
        <v>117.45412</v>
      </c>
    </row>
    <row r="794" spans="1:25" ht="12.75" customHeight="1" outlineLevel="2">
      <c r="A794" s="170">
        <v>1</v>
      </c>
      <c r="B794" s="162" t="s">
        <v>603</v>
      </c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4">
        <f t="shared" si="111"/>
        <v>0</v>
      </c>
    </row>
    <row r="795" spans="1:25" ht="18" outlineLevel="2">
      <c r="A795" s="170"/>
      <c r="B795" s="5">
        <f>D795+G795+J795</f>
        <v>40</v>
      </c>
      <c r="C795" s="5">
        <f>E795+H795+K795</f>
        <v>106.4</v>
      </c>
      <c r="D795" s="5">
        <v>40</v>
      </c>
      <c r="E795" s="8">
        <f>D795*FORECAST(D795,AA$12:AA$13,Z$12:Z$13)</f>
        <v>106.4</v>
      </c>
      <c r="F795" s="5" t="s">
        <v>433</v>
      </c>
      <c r="G795" s="5"/>
      <c r="H795" s="5"/>
      <c r="I795" s="5"/>
      <c r="J795" s="5"/>
      <c r="K795" s="5"/>
      <c r="L795" s="5"/>
      <c r="M795" s="5"/>
      <c r="N795" s="5">
        <v>400</v>
      </c>
      <c r="O795" s="8">
        <f>C795/0.92</f>
        <v>115.65217391304348</v>
      </c>
      <c r="P795" s="5"/>
      <c r="Q795" s="5"/>
      <c r="R795" s="8">
        <f>1.454*C795</f>
        <v>154.7056</v>
      </c>
      <c r="S795" s="9">
        <f>E795*1.454*0.4</f>
        <v>61.88224</v>
      </c>
      <c r="T795" s="9">
        <f>E795*1.454*0.2</f>
        <v>30.94112</v>
      </c>
      <c r="U795" s="9">
        <f>E795*1.454*0.2</f>
        <v>30.94112</v>
      </c>
      <c r="V795" s="9">
        <f>E795*1.454*0.2</f>
        <v>30.94112</v>
      </c>
      <c r="W795" s="9">
        <f>H795*1.454</f>
        <v>0</v>
      </c>
      <c r="X795" s="9">
        <f>K795*1.454</f>
        <v>0</v>
      </c>
      <c r="Y795" s="4">
        <f t="shared" si="111"/>
        <v>61.88224</v>
      </c>
    </row>
    <row r="796" spans="1:25" ht="12.75" customHeight="1" outlineLevel="2">
      <c r="A796" s="170">
        <v>1</v>
      </c>
      <c r="B796" s="162" t="s">
        <v>604</v>
      </c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4">
        <f t="shared" si="111"/>
        <v>0</v>
      </c>
    </row>
    <row r="797" spans="1:25" ht="18" outlineLevel="2">
      <c r="A797" s="170"/>
      <c r="B797" s="15">
        <f>D797+G797+J797</f>
        <v>30</v>
      </c>
      <c r="C797" s="16">
        <f>E797+H797+K797</f>
        <v>92.73749999999998</v>
      </c>
      <c r="D797" s="15">
        <v>30</v>
      </c>
      <c r="E797" s="8">
        <f>D797*FORECAST(D797,AA$11:AA$12,Z$11:Z$12)</f>
        <v>92.73749999999998</v>
      </c>
      <c r="F797" s="15" t="s">
        <v>433</v>
      </c>
      <c r="G797" s="6"/>
      <c r="H797" s="6"/>
      <c r="I797" s="6"/>
      <c r="J797" s="6"/>
      <c r="K797" s="6"/>
      <c r="L797" s="6"/>
      <c r="M797" s="15"/>
      <c r="N797" s="15">
        <v>680</v>
      </c>
      <c r="O797" s="8">
        <f>C797/0.92</f>
        <v>100.80163043478258</v>
      </c>
      <c r="P797" s="6"/>
      <c r="Q797" s="6"/>
      <c r="R797" s="8">
        <f>1.454*C797</f>
        <v>134.84032499999998</v>
      </c>
      <c r="S797" s="9">
        <f>E797*1.454*0.4</f>
        <v>53.93612999999999</v>
      </c>
      <c r="T797" s="9">
        <f>E797*1.454*0.2</f>
        <v>26.968064999999996</v>
      </c>
      <c r="U797" s="9">
        <f>E797*1.454*0.2</f>
        <v>26.968064999999996</v>
      </c>
      <c r="V797" s="9">
        <f>E797*1.454*0.2</f>
        <v>26.968064999999996</v>
      </c>
      <c r="W797" s="9">
        <f>H797*1.454</f>
        <v>0</v>
      </c>
      <c r="X797" s="9">
        <f>K797*1.454</f>
        <v>0</v>
      </c>
      <c r="Y797" s="4">
        <f t="shared" si="111"/>
        <v>53.93612999999999</v>
      </c>
    </row>
    <row r="798" spans="1:25" ht="12.75" customHeight="1" outlineLevel="2">
      <c r="A798" s="170">
        <v>1</v>
      </c>
      <c r="B798" s="162" t="s">
        <v>605</v>
      </c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4">
        <f t="shared" si="111"/>
        <v>0</v>
      </c>
    </row>
    <row r="799" spans="1:25" ht="18" outlineLevel="2">
      <c r="A799" s="170"/>
      <c r="B799" s="15">
        <f>D799+G799+J799</f>
        <v>20</v>
      </c>
      <c r="C799" s="15">
        <f>E799+H799+K799</f>
        <v>74.6</v>
      </c>
      <c r="D799" s="15">
        <v>20</v>
      </c>
      <c r="E799" s="8">
        <f>D799*FORECAST(D799,AA$10:AA$11,Z$10:Z$11)</f>
        <v>74.6</v>
      </c>
      <c r="F799" s="15" t="s">
        <v>433</v>
      </c>
      <c r="G799" s="6"/>
      <c r="H799" s="6"/>
      <c r="I799" s="6"/>
      <c r="J799" s="6"/>
      <c r="K799" s="6"/>
      <c r="L799" s="6"/>
      <c r="M799" s="15"/>
      <c r="N799" s="15">
        <v>200</v>
      </c>
      <c r="O799" s="8">
        <f>C799/0.92</f>
        <v>81.08695652173913</v>
      </c>
      <c r="P799" s="6"/>
      <c r="Q799" s="6"/>
      <c r="R799" s="8">
        <f>1.454*C799</f>
        <v>108.46839999999999</v>
      </c>
      <c r="S799" s="9">
        <f>E799*1.454*0.4</f>
        <v>43.38736</v>
      </c>
      <c r="T799" s="9">
        <f>E799*1.454*0.2</f>
        <v>21.69368</v>
      </c>
      <c r="U799" s="9">
        <f>E799*1.454*0.2</f>
        <v>21.69368</v>
      </c>
      <c r="V799" s="9">
        <f>E799*1.454*0.2</f>
        <v>21.69368</v>
      </c>
      <c r="W799" s="9">
        <f>H799*1.454</f>
        <v>0</v>
      </c>
      <c r="X799" s="9">
        <f>K799*1.454</f>
        <v>0</v>
      </c>
      <c r="Y799" s="4">
        <f t="shared" si="111"/>
        <v>43.38736</v>
      </c>
    </row>
    <row r="800" spans="1:25" ht="12.75" customHeight="1" outlineLevel="2">
      <c r="A800" s="170">
        <v>2</v>
      </c>
      <c r="B800" s="162" t="s">
        <v>606</v>
      </c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4">
        <f t="shared" si="111"/>
        <v>0</v>
      </c>
    </row>
    <row r="801" spans="1:25" ht="18" outlineLevel="2">
      <c r="A801" s="170"/>
      <c r="B801" s="15">
        <f>D801+G801+J801</f>
        <v>68</v>
      </c>
      <c r="C801" s="16">
        <f>E801+H801+K801</f>
        <v>158.84799999999998</v>
      </c>
      <c r="D801" s="15">
        <v>68</v>
      </c>
      <c r="E801" s="8">
        <f>D801*FORECAST(D801,AA$13:AA$14,Z$13:Z$14)</f>
        <v>158.84799999999998</v>
      </c>
      <c r="F801" s="15" t="s">
        <v>433</v>
      </c>
      <c r="G801" s="15"/>
      <c r="H801" s="15"/>
      <c r="I801" s="15"/>
      <c r="J801" s="15"/>
      <c r="K801" s="15"/>
      <c r="L801" s="15"/>
      <c r="M801" s="15"/>
      <c r="N801" s="15">
        <v>1700</v>
      </c>
      <c r="O801" s="8">
        <f>C801/0.92</f>
        <v>172.66086956521735</v>
      </c>
      <c r="P801" s="6"/>
      <c r="Q801" s="6"/>
      <c r="R801" s="8">
        <f>1.454*C801</f>
        <v>230.96499199999997</v>
      </c>
      <c r="S801" s="9">
        <f>E801*1.454*0.4</f>
        <v>92.38599679999999</v>
      </c>
      <c r="T801" s="9">
        <f>E801*1.454*0.2</f>
        <v>46.19299839999999</v>
      </c>
      <c r="U801" s="9">
        <f>E801*1.454*0.2</f>
        <v>46.19299839999999</v>
      </c>
      <c r="V801" s="9">
        <f>E801*1.454*0.2</f>
        <v>46.19299839999999</v>
      </c>
      <c r="W801" s="9">
        <f>H801*1.454</f>
        <v>0</v>
      </c>
      <c r="X801" s="9">
        <f>K801*1.454</f>
        <v>0</v>
      </c>
      <c r="Y801" s="4">
        <f t="shared" si="111"/>
        <v>92.38599679999999</v>
      </c>
    </row>
    <row r="802" spans="1:25" ht="36" outlineLevel="2">
      <c r="A802" s="6" t="s">
        <v>431</v>
      </c>
      <c r="B802" s="6">
        <f>B799+B801</f>
        <v>88</v>
      </c>
      <c r="C802" s="19">
        <f>C799+C801</f>
        <v>233.44799999999998</v>
      </c>
      <c r="D802" s="6">
        <f>D799+D801</f>
        <v>88</v>
      </c>
      <c r="E802" s="19">
        <f>E799+E801</f>
        <v>233.44799999999998</v>
      </c>
      <c r="F802" s="6" t="s">
        <v>433</v>
      </c>
      <c r="G802" s="6">
        <f>G799+G801</f>
        <v>0</v>
      </c>
      <c r="H802" s="6">
        <f>H799+H801</f>
        <v>0</v>
      </c>
      <c r="I802" s="6" t="s">
        <v>441</v>
      </c>
      <c r="J802" s="6">
        <f>J799+J801</f>
        <v>0</v>
      </c>
      <c r="K802" s="6">
        <f>K799+K801</f>
        <v>0</v>
      </c>
      <c r="L802" s="19" t="s">
        <v>441</v>
      </c>
      <c r="M802" s="6">
        <f aca="true" t="shared" si="119" ref="M802:R802">M799+M801</f>
        <v>0</v>
      </c>
      <c r="N802" s="6">
        <f t="shared" si="119"/>
        <v>1900</v>
      </c>
      <c r="O802" s="19">
        <f t="shared" si="119"/>
        <v>253.74782608695648</v>
      </c>
      <c r="P802" s="6">
        <f t="shared" si="119"/>
        <v>0</v>
      </c>
      <c r="Q802" s="6">
        <f t="shared" si="119"/>
        <v>0</v>
      </c>
      <c r="R802" s="19">
        <f t="shared" si="119"/>
        <v>339.43339199999997</v>
      </c>
      <c r="S802" s="19">
        <f aca="true" t="shared" si="120" ref="S802:X802">S799+S801</f>
        <v>135.7733568</v>
      </c>
      <c r="T802" s="19">
        <f t="shared" si="120"/>
        <v>67.8866784</v>
      </c>
      <c r="U802" s="19">
        <f t="shared" si="120"/>
        <v>67.8866784</v>
      </c>
      <c r="V802" s="19">
        <f t="shared" si="120"/>
        <v>67.8866784</v>
      </c>
      <c r="W802" s="19">
        <f t="shared" si="120"/>
        <v>0</v>
      </c>
      <c r="X802" s="19">
        <f t="shared" si="120"/>
        <v>0</v>
      </c>
      <c r="Y802" s="4">
        <f t="shared" si="111"/>
        <v>135.7733568</v>
      </c>
    </row>
    <row r="803" spans="1:25" ht="36" hidden="1" outlineLevel="1">
      <c r="A803" s="6" t="s">
        <v>434</v>
      </c>
      <c r="B803" s="6">
        <f>B793+B795+B797+B802</f>
        <v>229</v>
      </c>
      <c r="C803" s="19">
        <f>C793+C795+C797+C802</f>
        <v>634.5355</v>
      </c>
      <c r="D803" s="6">
        <f>D793+D795+D797+D802</f>
        <v>229</v>
      </c>
      <c r="E803" s="19">
        <f>E793+E795+E797+E802</f>
        <v>634.5355</v>
      </c>
      <c r="F803" s="6" t="s">
        <v>433</v>
      </c>
      <c r="G803" s="6">
        <f>G793+G795+G797+G802</f>
        <v>0</v>
      </c>
      <c r="H803" s="6">
        <f>H793+H795+H797+H802</f>
        <v>0</v>
      </c>
      <c r="I803" s="6" t="s">
        <v>441</v>
      </c>
      <c r="J803" s="6">
        <f>J793+J795+J797+J802</f>
        <v>0</v>
      </c>
      <c r="K803" s="6">
        <f>K793+K795+K797+K802</f>
        <v>0</v>
      </c>
      <c r="L803" s="6" t="s">
        <v>441</v>
      </c>
      <c r="M803" s="6">
        <f aca="true" t="shared" si="121" ref="M803:X803">M793+M795+M797+M802</f>
        <v>0</v>
      </c>
      <c r="N803" s="6">
        <f t="shared" si="121"/>
        <v>4780</v>
      </c>
      <c r="O803" s="19">
        <f t="shared" si="121"/>
        <v>689.7124999999999</v>
      </c>
      <c r="P803" s="6">
        <f t="shared" si="121"/>
        <v>0</v>
      </c>
      <c r="Q803" s="6">
        <f t="shared" si="121"/>
        <v>0</v>
      </c>
      <c r="R803" s="19">
        <f t="shared" si="121"/>
        <v>922.614617</v>
      </c>
      <c r="S803" s="19">
        <f t="shared" si="121"/>
        <v>369.0458468</v>
      </c>
      <c r="T803" s="19">
        <f t="shared" si="121"/>
        <v>184.5229234</v>
      </c>
      <c r="U803" s="19">
        <f t="shared" si="121"/>
        <v>184.5229234</v>
      </c>
      <c r="V803" s="19">
        <f t="shared" si="121"/>
        <v>184.5229234</v>
      </c>
      <c r="W803" s="19">
        <f t="shared" si="121"/>
        <v>0</v>
      </c>
      <c r="X803" s="19">
        <f t="shared" si="121"/>
        <v>0</v>
      </c>
      <c r="Y803" s="4">
        <f t="shared" si="111"/>
        <v>369.0458468</v>
      </c>
    </row>
    <row r="804" spans="1:25" ht="12.75" customHeight="1" outlineLevel="2">
      <c r="A804" s="170">
        <v>1</v>
      </c>
      <c r="B804" s="162" t="s">
        <v>607</v>
      </c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4">
        <f t="shared" si="111"/>
        <v>0</v>
      </c>
    </row>
    <row r="805" spans="1:25" ht="18" outlineLevel="2">
      <c r="A805" s="170"/>
      <c r="B805" s="15">
        <f>D805+G805+J805</f>
        <v>30</v>
      </c>
      <c r="C805" s="16">
        <f>E805+H805+K805</f>
        <v>92.73749999999998</v>
      </c>
      <c r="D805" s="15">
        <v>30</v>
      </c>
      <c r="E805" s="8">
        <f>D805*FORECAST(D805,AA$11:AA$12,Z$11:Z$12)</f>
        <v>92.73749999999998</v>
      </c>
      <c r="F805" s="15" t="s">
        <v>433</v>
      </c>
      <c r="G805" s="15"/>
      <c r="H805" s="15"/>
      <c r="I805" s="15"/>
      <c r="J805" s="15"/>
      <c r="K805" s="15"/>
      <c r="L805" s="15"/>
      <c r="M805" s="15"/>
      <c r="N805" s="15">
        <v>700</v>
      </c>
      <c r="O805" s="8">
        <f>C805/0.92</f>
        <v>100.80163043478258</v>
      </c>
      <c r="P805" s="6"/>
      <c r="Q805" s="6"/>
      <c r="R805" s="8">
        <f>1.454*C805</f>
        <v>134.84032499999998</v>
      </c>
      <c r="S805" s="9">
        <f>E805*1.454*0.4</f>
        <v>53.93612999999999</v>
      </c>
      <c r="T805" s="9">
        <f>E805*1.454*0.2</f>
        <v>26.968064999999996</v>
      </c>
      <c r="U805" s="9">
        <f>E805*1.454*0.2</f>
        <v>26.968064999999996</v>
      </c>
      <c r="V805" s="9">
        <f>E805*1.454*0.2</f>
        <v>26.968064999999996</v>
      </c>
      <c r="W805" s="9">
        <f>H805*1.454</f>
        <v>0</v>
      </c>
      <c r="X805" s="9">
        <f>K805*1.454</f>
        <v>0</v>
      </c>
      <c r="Y805" s="4">
        <f t="shared" si="111"/>
        <v>53.93612999999999</v>
      </c>
    </row>
    <row r="806" spans="1:25" ht="12.75" customHeight="1" outlineLevel="2">
      <c r="A806" s="170">
        <v>2</v>
      </c>
      <c r="B806" s="162" t="s">
        <v>608</v>
      </c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4">
        <f t="shared" si="111"/>
        <v>0</v>
      </c>
    </row>
    <row r="807" spans="1:25" ht="18" outlineLevel="2">
      <c r="A807" s="170"/>
      <c r="B807" s="15">
        <f>D807+G807+J807</f>
        <v>30</v>
      </c>
      <c r="C807" s="16">
        <f>E807+H807+K807</f>
        <v>92.73749999999998</v>
      </c>
      <c r="D807" s="15">
        <v>30</v>
      </c>
      <c r="E807" s="8">
        <f>D807*FORECAST(D807,AA$11:AA$12,Z$11:Z$12)</f>
        <v>92.73749999999998</v>
      </c>
      <c r="F807" s="15" t="s">
        <v>433</v>
      </c>
      <c r="G807" s="15"/>
      <c r="H807" s="15"/>
      <c r="I807" s="15"/>
      <c r="J807" s="15"/>
      <c r="K807" s="15"/>
      <c r="L807" s="15"/>
      <c r="M807" s="15"/>
      <c r="N807" s="15">
        <v>700</v>
      </c>
      <c r="O807" s="8">
        <f>C807/0.92</f>
        <v>100.80163043478258</v>
      </c>
      <c r="P807" s="6"/>
      <c r="Q807" s="6"/>
      <c r="R807" s="8">
        <f>1.454*C807</f>
        <v>134.84032499999998</v>
      </c>
      <c r="S807" s="9">
        <f>E807*1.454*0.4</f>
        <v>53.93612999999999</v>
      </c>
      <c r="T807" s="9">
        <f>E807*1.454*0.2</f>
        <v>26.968064999999996</v>
      </c>
      <c r="U807" s="9">
        <f>E807*1.454*0.2</f>
        <v>26.968064999999996</v>
      </c>
      <c r="V807" s="9">
        <f>E807*1.454*0.2</f>
        <v>26.968064999999996</v>
      </c>
      <c r="W807" s="9">
        <f>H807*1.454</f>
        <v>0</v>
      </c>
      <c r="X807" s="9">
        <f>K807*1.454</f>
        <v>0</v>
      </c>
      <c r="Y807" s="4">
        <f t="shared" si="111"/>
        <v>53.93612999999999</v>
      </c>
    </row>
    <row r="808" spans="1:25" ht="36" outlineLevel="2">
      <c r="A808" s="6" t="s">
        <v>431</v>
      </c>
      <c r="B808" s="6">
        <f>B805+B807</f>
        <v>60</v>
      </c>
      <c r="C808" s="19">
        <f>C805+C807</f>
        <v>185.47499999999997</v>
      </c>
      <c r="D808" s="6">
        <f>D805+D807</f>
        <v>60</v>
      </c>
      <c r="E808" s="19">
        <f>E805+E807</f>
        <v>185.47499999999997</v>
      </c>
      <c r="F808" s="6" t="s">
        <v>433</v>
      </c>
      <c r="G808" s="6">
        <f>G805+G807</f>
        <v>0</v>
      </c>
      <c r="H808" s="6">
        <f>H805+H807</f>
        <v>0</v>
      </c>
      <c r="I808" s="6" t="s">
        <v>441</v>
      </c>
      <c r="J808" s="6">
        <f>J805+J807</f>
        <v>0</v>
      </c>
      <c r="K808" s="6">
        <f>K805+K807</f>
        <v>0</v>
      </c>
      <c r="L808" s="6" t="s">
        <v>441</v>
      </c>
      <c r="M808" s="6">
        <f aca="true" t="shared" si="122" ref="M808:X808">M805+M807</f>
        <v>0</v>
      </c>
      <c r="N808" s="6">
        <f t="shared" si="122"/>
        <v>1400</v>
      </c>
      <c r="O808" s="19">
        <f t="shared" si="122"/>
        <v>201.60326086956516</v>
      </c>
      <c r="P808" s="6">
        <f t="shared" si="122"/>
        <v>0</v>
      </c>
      <c r="Q808" s="6">
        <f t="shared" si="122"/>
        <v>0</v>
      </c>
      <c r="R808" s="19">
        <f t="shared" si="122"/>
        <v>269.68064999999996</v>
      </c>
      <c r="S808" s="19">
        <f t="shared" si="122"/>
        <v>107.87225999999998</v>
      </c>
      <c r="T808" s="19">
        <f t="shared" si="122"/>
        <v>53.93612999999999</v>
      </c>
      <c r="U808" s="19">
        <f t="shared" si="122"/>
        <v>53.93612999999999</v>
      </c>
      <c r="V808" s="19">
        <f t="shared" si="122"/>
        <v>53.93612999999999</v>
      </c>
      <c r="W808" s="19">
        <f t="shared" si="122"/>
        <v>0</v>
      </c>
      <c r="X808" s="19">
        <f t="shared" si="122"/>
        <v>0</v>
      </c>
      <c r="Y808" s="4">
        <f t="shared" si="111"/>
        <v>107.87225999999998</v>
      </c>
    </row>
    <row r="809" spans="1:25" ht="12.75" customHeight="1" outlineLevel="2">
      <c r="A809" s="170">
        <v>1</v>
      </c>
      <c r="B809" s="162" t="s">
        <v>609</v>
      </c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4">
        <f t="shared" si="111"/>
        <v>0</v>
      </c>
    </row>
    <row r="810" spans="1:25" ht="18" outlineLevel="2">
      <c r="A810" s="170"/>
      <c r="B810" s="15">
        <f>D810+G810+J810</f>
        <v>20</v>
      </c>
      <c r="C810" s="15">
        <f>E810+H810+K810</f>
        <v>74.6</v>
      </c>
      <c r="D810" s="15">
        <v>20</v>
      </c>
      <c r="E810" s="8">
        <f>D810*FORECAST(D810,AA$10:AA$11,Z$10:Z$11)</f>
        <v>74.6</v>
      </c>
      <c r="F810" s="15" t="s">
        <v>433</v>
      </c>
      <c r="G810" s="15"/>
      <c r="H810" s="15"/>
      <c r="I810" s="15"/>
      <c r="J810" s="15"/>
      <c r="K810" s="15"/>
      <c r="L810" s="15"/>
      <c r="M810" s="15"/>
      <c r="N810" s="15">
        <v>400</v>
      </c>
      <c r="O810" s="8">
        <f>C810/0.92</f>
        <v>81.08695652173913</v>
      </c>
      <c r="P810" s="6"/>
      <c r="Q810" s="6"/>
      <c r="R810" s="8">
        <f>1.454*C810</f>
        <v>108.46839999999999</v>
      </c>
      <c r="S810" s="9">
        <f>E810*1.454*0.4</f>
        <v>43.38736</v>
      </c>
      <c r="T810" s="9">
        <f>E810*1.454*0.2</f>
        <v>21.69368</v>
      </c>
      <c r="U810" s="9">
        <f>E810*1.454*0.2</f>
        <v>21.69368</v>
      </c>
      <c r="V810" s="9">
        <f>E810*1.454*0.2</f>
        <v>21.69368</v>
      </c>
      <c r="W810" s="9">
        <f>H810*1.454</f>
        <v>0</v>
      </c>
      <c r="X810" s="9">
        <f>K810*1.454</f>
        <v>0</v>
      </c>
      <c r="Y810" s="4">
        <f t="shared" si="111"/>
        <v>43.38736</v>
      </c>
    </row>
    <row r="811" spans="1:25" ht="12.75" customHeight="1" outlineLevel="2">
      <c r="A811" s="170">
        <v>2</v>
      </c>
      <c r="B811" s="162" t="s">
        <v>610</v>
      </c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4">
        <f t="shared" si="111"/>
        <v>0</v>
      </c>
    </row>
    <row r="812" spans="1:25" ht="18" outlineLevel="2">
      <c r="A812" s="170"/>
      <c r="B812" s="15">
        <f>D812+G812+J812</f>
        <v>56</v>
      </c>
      <c r="C812" s="16">
        <f>E812+H812+K812</f>
        <v>136.416</v>
      </c>
      <c r="D812" s="15">
        <v>56</v>
      </c>
      <c r="E812" s="8">
        <f>D812*FORECAST(D812,AA$12:AA$13,Z$12:Z$13)</f>
        <v>136.416</v>
      </c>
      <c r="F812" s="15" t="s">
        <v>433</v>
      </c>
      <c r="G812" s="15"/>
      <c r="H812" s="15"/>
      <c r="I812" s="15"/>
      <c r="J812" s="15"/>
      <c r="K812" s="15"/>
      <c r="L812" s="15"/>
      <c r="M812" s="15"/>
      <c r="N812" s="15">
        <v>700</v>
      </c>
      <c r="O812" s="8">
        <f>C812/0.92</f>
        <v>148.2782608695652</v>
      </c>
      <c r="P812" s="6"/>
      <c r="Q812" s="6"/>
      <c r="R812" s="8">
        <f>1.454*C812</f>
        <v>198.348864</v>
      </c>
      <c r="S812" s="9">
        <f>E812*1.454*0.4</f>
        <v>79.33954560000001</v>
      </c>
      <c r="T812" s="9">
        <f>E812*1.454*0.2</f>
        <v>39.669772800000004</v>
      </c>
      <c r="U812" s="9">
        <f>E812*1.454*0.2</f>
        <v>39.669772800000004</v>
      </c>
      <c r="V812" s="9">
        <f>E812*1.454*0.2</f>
        <v>39.669772800000004</v>
      </c>
      <c r="W812" s="9">
        <f>H812*1.454</f>
        <v>0</v>
      </c>
      <c r="X812" s="9">
        <f>K812*1.454</f>
        <v>0</v>
      </c>
      <c r="Y812" s="4">
        <f t="shared" si="111"/>
        <v>79.33954560000001</v>
      </c>
    </row>
    <row r="813" spans="1:25" ht="36" outlineLevel="2">
      <c r="A813" s="6" t="s">
        <v>431</v>
      </c>
      <c r="B813" s="6">
        <f>B810+B812</f>
        <v>76</v>
      </c>
      <c r="C813" s="19">
        <f>C810+C812</f>
        <v>211.016</v>
      </c>
      <c r="D813" s="6">
        <f>D810+D812</f>
        <v>76</v>
      </c>
      <c r="E813" s="19">
        <f>E810+E812</f>
        <v>211.016</v>
      </c>
      <c r="F813" s="6" t="s">
        <v>433</v>
      </c>
      <c r="G813" s="6">
        <f>G810+G812</f>
        <v>0</v>
      </c>
      <c r="H813" s="6">
        <f>H810+H812</f>
        <v>0</v>
      </c>
      <c r="I813" s="6" t="s">
        <v>441</v>
      </c>
      <c r="J813" s="6">
        <f>J810+J812</f>
        <v>0</v>
      </c>
      <c r="K813" s="6">
        <f>K810+K812</f>
        <v>0</v>
      </c>
      <c r="L813" s="6" t="s">
        <v>441</v>
      </c>
      <c r="M813" s="6">
        <f aca="true" t="shared" si="123" ref="M813:R813">M810+M812</f>
        <v>0</v>
      </c>
      <c r="N813" s="6">
        <f t="shared" si="123"/>
        <v>1100</v>
      </c>
      <c r="O813" s="19">
        <f t="shared" si="123"/>
        <v>229.36521739130433</v>
      </c>
      <c r="P813" s="6">
        <f t="shared" si="123"/>
        <v>0</v>
      </c>
      <c r="Q813" s="6">
        <f t="shared" si="123"/>
        <v>0</v>
      </c>
      <c r="R813" s="19">
        <f t="shared" si="123"/>
        <v>306.81726399999997</v>
      </c>
      <c r="S813" s="19">
        <f aca="true" t="shared" si="124" ref="S813:X813">S810+S812</f>
        <v>122.72690560000001</v>
      </c>
      <c r="T813" s="19">
        <f t="shared" si="124"/>
        <v>61.363452800000005</v>
      </c>
      <c r="U813" s="19">
        <f t="shared" si="124"/>
        <v>61.363452800000005</v>
      </c>
      <c r="V813" s="19">
        <f t="shared" si="124"/>
        <v>61.363452800000005</v>
      </c>
      <c r="W813" s="19">
        <f t="shared" si="124"/>
        <v>0</v>
      </c>
      <c r="X813" s="19">
        <f t="shared" si="124"/>
        <v>0</v>
      </c>
      <c r="Y813" s="4">
        <f t="shared" si="111"/>
        <v>122.72690560000001</v>
      </c>
    </row>
    <row r="814" spans="1:25" ht="36" hidden="1" outlineLevel="1">
      <c r="A814" s="6" t="s">
        <v>435</v>
      </c>
      <c r="B814" s="6">
        <f>B808+B813</f>
        <v>136</v>
      </c>
      <c r="C814" s="19">
        <f>C808+C813</f>
        <v>396.491</v>
      </c>
      <c r="D814" s="6">
        <f>D808+D813</f>
        <v>136</v>
      </c>
      <c r="E814" s="19">
        <f>E808+E813</f>
        <v>396.491</v>
      </c>
      <c r="F814" s="6" t="s">
        <v>433</v>
      </c>
      <c r="G814" s="6">
        <f>G808+G813</f>
        <v>0</v>
      </c>
      <c r="H814" s="6">
        <f>H808+H813</f>
        <v>0</v>
      </c>
      <c r="I814" s="6" t="s">
        <v>441</v>
      </c>
      <c r="J814" s="6">
        <f>J808+J813</f>
        <v>0</v>
      </c>
      <c r="K814" s="6">
        <f>K808+K813</f>
        <v>0</v>
      </c>
      <c r="L814" s="6" t="s">
        <v>441</v>
      </c>
      <c r="M814" s="6">
        <f aca="true" t="shared" si="125" ref="M814:R814">M808+M813</f>
        <v>0</v>
      </c>
      <c r="N814" s="6">
        <f t="shared" si="125"/>
        <v>2500</v>
      </c>
      <c r="O814" s="19">
        <f t="shared" si="125"/>
        <v>430.96847826086946</v>
      </c>
      <c r="P814" s="6">
        <f t="shared" si="125"/>
        <v>0</v>
      </c>
      <c r="Q814" s="6">
        <f t="shared" si="125"/>
        <v>0</v>
      </c>
      <c r="R814" s="19">
        <f t="shared" si="125"/>
        <v>576.4979139999999</v>
      </c>
      <c r="S814" s="19">
        <f aca="true" t="shared" si="126" ref="S814:X814">S808+S813</f>
        <v>230.5991656</v>
      </c>
      <c r="T814" s="19">
        <f t="shared" si="126"/>
        <v>115.2995828</v>
      </c>
      <c r="U814" s="19">
        <f t="shared" si="126"/>
        <v>115.2995828</v>
      </c>
      <c r="V814" s="19">
        <f t="shared" si="126"/>
        <v>115.2995828</v>
      </c>
      <c r="W814" s="19">
        <f t="shared" si="126"/>
        <v>0</v>
      </c>
      <c r="X814" s="19">
        <f t="shared" si="126"/>
        <v>0</v>
      </c>
      <c r="Y814" s="4">
        <f t="shared" si="111"/>
        <v>230.5991656</v>
      </c>
    </row>
    <row r="815" spans="1:25" ht="12.75" customHeight="1" outlineLevel="2">
      <c r="A815" s="170">
        <v>1</v>
      </c>
      <c r="B815" s="162" t="s">
        <v>611</v>
      </c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4">
        <f t="shared" si="111"/>
        <v>0</v>
      </c>
    </row>
    <row r="816" spans="1:25" ht="18" outlineLevel="2">
      <c r="A816" s="170"/>
      <c r="B816" s="15">
        <f>D816+G816+J816</f>
        <v>30</v>
      </c>
      <c r="C816" s="16">
        <f>E816+H816+K816</f>
        <v>92.73749999999998</v>
      </c>
      <c r="D816" s="15">
        <v>30</v>
      </c>
      <c r="E816" s="8">
        <f>D816*FORECAST(D816,AA$11:AA$12,Z$11:Z$12)</f>
        <v>92.73749999999998</v>
      </c>
      <c r="F816" s="15" t="s">
        <v>433</v>
      </c>
      <c r="G816" s="15"/>
      <c r="H816" s="15"/>
      <c r="I816" s="15"/>
      <c r="J816" s="15"/>
      <c r="K816" s="15"/>
      <c r="L816" s="15"/>
      <c r="M816" s="15"/>
      <c r="N816" s="15">
        <v>680</v>
      </c>
      <c r="O816" s="8">
        <f>C816/0.92</f>
        <v>100.80163043478258</v>
      </c>
      <c r="P816" s="6"/>
      <c r="Q816" s="6"/>
      <c r="R816" s="8">
        <f>1.454*C816</f>
        <v>134.84032499999998</v>
      </c>
      <c r="S816" s="9">
        <f>E816*1.454*0.4</f>
        <v>53.93612999999999</v>
      </c>
      <c r="T816" s="9">
        <f>E816*1.454*0.2</f>
        <v>26.968064999999996</v>
      </c>
      <c r="U816" s="9">
        <f>E816*1.454*0.2</f>
        <v>26.968064999999996</v>
      </c>
      <c r="V816" s="9">
        <f>E816*1.454*0.2</f>
        <v>26.968064999999996</v>
      </c>
      <c r="W816" s="9">
        <f>H816*1.454</f>
        <v>0</v>
      </c>
      <c r="X816" s="9">
        <f>K816*1.454</f>
        <v>0</v>
      </c>
      <c r="Y816" s="4">
        <f t="shared" si="111"/>
        <v>53.93612999999999</v>
      </c>
    </row>
    <row r="817" spans="1:25" ht="12.75" customHeight="1" outlineLevel="2">
      <c r="A817" s="170">
        <v>1</v>
      </c>
      <c r="B817" s="162" t="s">
        <v>612</v>
      </c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4">
        <f t="shared" si="111"/>
        <v>0</v>
      </c>
    </row>
    <row r="818" spans="1:25" ht="18" outlineLevel="2">
      <c r="A818" s="170"/>
      <c r="B818" s="15">
        <f>D818+G818+J818</f>
        <v>10</v>
      </c>
      <c r="C818" s="16">
        <f>E818+H818+K818</f>
        <v>55.26666666666667</v>
      </c>
      <c r="D818" s="15">
        <v>10</v>
      </c>
      <c r="E818" s="8">
        <f>D818*FORECAST(D818,AA$7:AA$8,Z$7:Z$8)</f>
        <v>55.26666666666667</v>
      </c>
      <c r="F818" s="15" t="s">
        <v>433</v>
      </c>
      <c r="G818" s="15"/>
      <c r="H818" s="15"/>
      <c r="I818" s="15"/>
      <c r="J818" s="15"/>
      <c r="K818" s="15"/>
      <c r="L818" s="15"/>
      <c r="M818" s="15"/>
      <c r="N818" s="15">
        <v>200</v>
      </c>
      <c r="O818" s="8">
        <f>C818/0.92</f>
        <v>60.072463768115945</v>
      </c>
      <c r="P818" s="6"/>
      <c r="Q818" s="6"/>
      <c r="R818" s="8">
        <f>1.454*C818</f>
        <v>80.35773333333334</v>
      </c>
      <c r="S818" s="9">
        <f>E818*1.454*0.4</f>
        <v>32.14309333333334</v>
      </c>
      <c r="T818" s="9">
        <f>E818*1.454*0.2</f>
        <v>16.07154666666667</v>
      </c>
      <c r="U818" s="9">
        <f>E818*1.454*0.2</f>
        <v>16.07154666666667</v>
      </c>
      <c r="V818" s="9">
        <f>E818*1.454*0.2</f>
        <v>16.07154666666667</v>
      </c>
      <c r="W818" s="9">
        <f>H818*1.454</f>
        <v>0</v>
      </c>
      <c r="X818" s="9">
        <f>K818*1.454</f>
        <v>0</v>
      </c>
      <c r="Y818" s="4">
        <f t="shared" si="111"/>
        <v>32.14309333333334</v>
      </c>
    </row>
    <row r="819" spans="1:25" ht="12.75" customHeight="1" outlineLevel="2">
      <c r="A819" s="170">
        <v>2</v>
      </c>
      <c r="B819" s="162" t="s">
        <v>613</v>
      </c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4">
        <f t="shared" si="111"/>
        <v>0</v>
      </c>
    </row>
    <row r="820" spans="1:25" ht="18" outlineLevel="2">
      <c r="A820" s="170"/>
      <c r="B820" s="15">
        <f>D820+G820+J820</f>
        <v>15</v>
      </c>
      <c r="C820" s="15">
        <f>E820+H820+K820</f>
        <v>65.1</v>
      </c>
      <c r="D820" s="15">
        <v>15</v>
      </c>
      <c r="E820" s="8">
        <f>D820*FORECAST(D820,AA$9:AA$10,Z$9:Z$10)</f>
        <v>65.1</v>
      </c>
      <c r="F820" s="15" t="s">
        <v>433</v>
      </c>
      <c r="G820" s="15"/>
      <c r="H820" s="15"/>
      <c r="I820" s="15"/>
      <c r="J820" s="15"/>
      <c r="K820" s="15"/>
      <c r="L820" s="15"/>
      <c r="M820" s="15"/>
      <c r="N820" s="15">
        <v>300</v>
      </c>
      <c r="O820" s="8">
        <f>C820/0.92</f>
        <v>70.76086956521738</v>
      </c>
      <c r="P820" s="6"/>
      <c r="Q820" s="6"/>
      <c r="R820" s="8">
        <f>1.454*C820</f>
        <v>94.65539999999999</v>
      </c>
      <c r="S820" s="9">
        <f>E820*1.454*0.4</f>
        <v>37.862159999999996</v>
      </c>
      <c r="T820" s="9">
        <f>E820*1.454*0.2</f>
        <v>18.931079999999998</v>
      </c>
      <c r="U820" s="9">
        <f>E820*1.454*0.2</f>
        <v>18.931079999999998</v>
      </c>
      <c r="V820" s="9">
        <f>E820*1.454*0.2</f>
        <v>18.931079999999998</v>
      </c>
      <c r="W820" s="9">
        <f>H820*1.454</f>
        <v>0</v>
      </c>
      <c r="X820" s="9">
        <f>K820*1.454</f>
        <v>0</v>
      </c>
      <c r="Y820" s="4">
        <f t="shared" si="111"/>
        <v>37.862159999999996</v>
      </c>
    </row>
    <row r="821" spans="1:25" ht="36" outlineLevel="2">
      <c r="A821" s="6" t="s">
        <v>431</v>
      </c>
      <c r="B821" s="6">
        <f>B818+B820</f>
        <v>25</v>
      </c>
      <c r="C821" s="19">
        <f>C818+C820</f>
        <v>120.36666666666667</v>
      </c>
      <c r="D821" s="6">
        <f>D818+D820</f>
        <v>25</v>
      </c>
      <c r="E821" s="19">
        <f>E818+E820</f>
        <v>120.36666666666667</v>
      </c>
      <c r="F821" s="6" t="s">
        <v>433</v>
      </c>
      <c r="G821" s="6">
        <f>G818+G820</f>
        <v>0</v>
      </c>
      <c r="H821" s="6">
        <f>H818+H820</f>
        <v>0</v>
      </c>
      <c r="I821" s="6" t="s">
        <v>441</v>
      </c>
      <c r="J821" s="6">
        <f>J818+J820</f>
        <v>0</v>
      </c>
      <c r="K821" s="6">
        <f>K818+K820</f>
        <v>0</v>
      </c>
      <c r="L821" s="6" t="s">
        <v>441</v>
      </c>
      <c r="M821" s="6">
        <f aca="true" t="shared" si="127" ref="M821:R821">M818+M820</f>
        <v>0</v>
      </c>
      <c r="N821" s="6">
        <f t="shared" si="127"/>
        <v>500</v>
      </c>
      <c r="O821" s="19">
        <f t="shared" si="127"/>
        <v>130.83333333333331</v>
      </c>
      <c r="P821" s="6">
        <f t="shared" si="127"/>
        <v>0</v>
      </c>
      <c r="Q821" s="6">
        <f t="shared" si="127"/>
        <v>0</v>
      </c>
      <c r="R821" s="19">
        <f t="shared" si="127"/>
        <v>175.01313333333331</v>
      </c>
      <c r="S821" s="19">
        <f aca="true" t="shared" si="128" ref="S821:X821">S818+S820</f>
        <v>70.00525333333334</v>
      </c>
      <c r="T821" s="19">
        <f t="shared" si="128"/>
        <v>35.00262666666667</v>
      </c>
      <c r="U821" s="19">
        <f t="shared" si="128"/>
        <v>35.00262666666667</v>
      </c>
      <c r="V821" s="19">
        <f t="shared" si="128"/>
        <v>35.00262666666667</v>
      </c>
      <c r="W821" s="19">
        <f t="shared" si="128"/>
        <v>0</v>
      </c>
      <c r="X821" s="19">
        <f t="shared" si="128"/>
        <v>0</v>
      </c>
      <c r="Y821" s="4">
        <f t="shared" si="111"/>
        <v>70.00525333333334</v>
      </c>
    </row>
    <row r="822" spans="1:25" ht="36" hidden="1" outlineLevel="1">
      <c r="A822" s="6" t="s">
        <v>436</v>
      </c>
      <c r="B822" s="6">
        <f>B816+B821</f>
        <v>55</v>
      </c>
      <c r="C822" s="19">
        <f>C816+C821</f>
        <v>213.10416666666666</v>
      </c>
      <c r="D822" s="6">
        <f>D816+D821</f>
        <v>55</v>
      </c>
      <c r="E822" s="19">
        <f>E816+E821</f>
        <v>213.10416666666666</v>
      </c>
      <c r="F822" s="6" t="s">
        <v>433</v>
      </c>
      <c r="G822" s="6">
        <f>G816+G821</f>
        <v>0</v>
      </c>
      <c r="H822" s="6">
        <f>H816+H821</f>
        <v>0</v>
      </c>
      <c r="I822" s="6" t="s">
        <v>441</v>
      </c>
      <c r="J822" s="6">
        <f>J816+J821</f>
        <v>0</v>
      </c>
      <c r="K822" s="6">
        <f>K816+K821</f>
        <v>0</v>
      </c>
      <c r="L822" s="6" t="s">
        <v>441</v>
      </c>
      <c r="M822" s="6">
        <f aca="true" t="shared" si="129" ref="M822:R822">M816+M821</f>
        <v>0</v>
      </c>
      <c r="N822" s="6">
        <f t="shared" si="129"/>
        <v>1180</v>
      </c>
      <c r="O822" s="19">
        <f t="shared" si="129"/>
        <v>231.63496376811588</v>
      </c>
      <c r="P822" s="6">
        <f t="shared" si="129"/>
        <v>0</v>
      </c>
      <c r="Q822" s="6">
        <f t="shared" si="129"/>
        <v>0</v>
      </c>
      <c r="R822" s="19">
        <f t="shared" si="129"/>
        <v>309.85345833333326</v>
      </c>
      <c r="S822" s="19">
        <f aca="true" t="shared" si="130" ref="S822:X822">S816+S821</f>
        <v>123.94138333333333</v>
      </c>
      <c r="T822" s="19">
        <f t="shared" si="130"/>
        <v>61.97069166666667</v>
      </c>
      <c r="U822" s="19">
        <f t="shared" si="130"/>
        <v>61.97069166666667</v>
      </c>
      <c r="V822" s="19">
        <f t="shared" si="130"/>
        <v>61.97069166666667</v>
      </c>
      <c r="W822" s="19">
        <f t="shared" si="130"/>
        <v>0</v>
      </c>
      <c r="X822" s="19">
        <f t="shared" si="130"/>
        <v>0</v>
      </c>
      <c r="Y822" s="4">
        <f t="shared" si="111"/>
        <v>123.94138333333333</v>
      </c>
    </row>
    <row r="823" spans="1:25" ht="12.75" customHeight="1" outlineLevel="2">
      <c r="A823" s="170">
        <v>1</v>
      </c>
      <c r="B823" s="162" t="s">
        <v>614</v>
      </c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4">
        <f t="shared" si="111"/>
        <v>0</v>
      </c>
    </row>
    <row r="824" spans="1:25" ht="18" outlineLevel="2">
      <c r="A824" s="170"/>
      <c r="B824" s="15">
        <f>D824+G824+J824</f>
        <v>15</v>
      </c>
      <c r="C824" s="15">
        <f>E824+H824+K824</f>
        <v>65.1</v>
      </c>
      <c r="D824" s="15">
        <v>15</v>
      </c>
      <c r="E824" s="8">
        <f>D824*FORECAST(D824,AA$9:AA$10,Z$9:Z$10)</f>
        <v>65.1</v>
      </c>
      <c r="F824" s="15" t="s">
        <v>433</v>
      </c>
      <c r="G824" s="15"/>
      <c r="H824" s="15"/>
      <c r="I824" s="15"/>
      <c r="J824" s="15"/>
      <c r="K824" s="15"/>
      <c r="L824" s="15"/>
      <c r="M824" s="15"/>
      <c r="N824" s="15">
        <v>300</v>
      </c>
      <c r="O824" s="8">
        <f>C824/0.92</f>
        <v>70.76086956521738</v>
      </c>
      <c r="P824" s="6"/>
      <c r="Q824" s="6"/>
      <c r="R824" s="8">
        <f>1.454*C824</f>
        <v>94.65539999999999</v>
      </c>
      <c r="S824" s="9">
        <f>E824*1.454*0.4</f>
        <v>37.862159999999996</v>
      </c>
      <c r="T824" s="9">
        <f>E824*1.454*0.2</f>
        <v>18.931079999999998</v>
      </c>
      <c r="U824" s="9">
        <f>E824*1.454*0.2</f>
        <v>18.931079999999998</v>
      </c>
      <c r="V824" s="9">
        <f>E824*1.454*0.2</f>
        <v>18.931079999999998</v>
      </c>
      <c r="W824" s="9">
        <f>H824*1.454</f>
        <v>0</v>
      </c>
      <c r="X824" s="9">
        <f>K824*1.454</f>
        <v>0</v>
      </c>
      <c r="Y824" s="4">
        <f t="shared" si="111"/>
        <v>37.862159999999996</v>
      </c>
    </row>
    <row r="825" spans="1:25" ht="12.75" customHeight="1" outlineLevel="2">
      <c r="A825" s="170">
        <v>2</v>
      </c>
      <c r="B825" s="162" t="s">
        <v>615</v>
      </c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4">
        <f t="shared" si="111"/>
        <v>0</v>
      </c>
    </row>
    <row r="826" spans="1:25" ht="18" outlineLevel="2">
      <c r="A826" s="170"/>
      <c r="B826" s="15">
        <f>D826+G826+J826</f>
        <v>75</v>
      </c>
      <c r="C826" s="16">
        <f>E826+H826+K826</f>
        <v>172.3125</v>
      </c>
      <c r="D826" s="15">
        <v>75</v>
      </c>
      <c r="E826" s="8">
        <f>D826*FORECAST(D826,AA$13:AA$14,Z$13:Z$14)</f>
        <v>172.3125</v>
      </c>
      <c r="F826" s="15" t="s">
        <v>433</v>
      </c>
      <c r="G826" s="15"/>
      <c r="H826" s="15"/>
      <c r="I826" s="15"/>
      <c r="J826" s="15"/>
      <c r="K826" s="15"/>
      <c r="L826" s="15"/>
      <c r="M826" s="15"/>
      <c r="N826" s="15">
        <v>900</v>
      </c>
      <c r="O826" s="8">
        <f>C826/0.92</f>
        <v>187.2961956521739</v>
      </c>
      <c r="P826" s="6"/>
      <c r="Q826" s="6"/>
      <c r="R826" s="8">
        <f>1.454*C826</f>
        <v>250.542375</v>
      </c>
      <c r="S826" s="9">
        <f>E826*1.454*0.4</f>
        <v>100.21695</v>
      </c>
      <c r="T826" s="9">
        <f>E826*1.454*0.2</f>
        <v>50.108475</v>
      </c>
      <c r="U826" s="9">
        <f>E826*1.454*0.2</f>
        <v>50.108475</v>
      </c>
      <c r="V826" s="9">
        <f>E826*1.454*0.2</f>
        <v>50.108475</v>
      </c>
      <c r="W826" s="9">
        <f>H826*1.454</f>
        <v>0</v>
      </c>
      <c r="X826" s="9">
        <f>K826*1.454</f>
        <v>0</v>
      </c>
      <c r="Y826" s="4">
        <f t="shared" si="111"/>
        <v>100.21695</v>
      </c>
    </row>
    <row r="827" spans="1:25" ht="36" outlineLevel="1">
      <c r="A827" s="6" t="s">
        <v>437</v>
      </c>
      <c r="B827" s="6">
        <f>B824+B826+B803+B814+B822</f>
        <v>510</v>
      </c>
      <c r="C827" s="19">
        <f aca="true" t="shared" si="131" ref="C827:X827">C824+C826+C803+C814+C822</f>
        <v>1481.5431666666666</v>
      </c>
      <c r="D827" s="6">
        <f t="shared" si="131"/>
        <v>510</v>
      </c>
      <c r="E827" s="19">
        <f t="shared" si="131"/>
        <v>1481.5431666666666</v>
      </c>
      <c r="F827" s="6" t="s">
        <v>433</v>
      </c>
      <c r="G827" s="6">
        <f t="shared" si="131"/>
        <v>0</v>
      </c>
      <c r="H827" s="6">
        <f t="shared" si="131"/>
        <v>0</v>
      </c>
      <c r="I827" s="6" t="s">
        <v>698</v>
      </c>
      <c r="J827" s="6">
        <f t="shared" si="131"/>
        <v>0</v>
      </c>
      <c r="K827" s="6">
        <f t="shared" si="131"/>
        <v>0</v>
      </c>
      <c r="L827" s="6" t="s">
        <v>698</v>
      </c>
      <c r="M827" s="6">
        <f t="shared" si="131"/>
        <v>0</v>
      </c>
      <c r="N827" s="6">
        <f t="shared" si="131"/>
        <v>9660</v>
      </c>
      <c r="O827" s="19">
        <f t="shared" si="131"/>
        <v>1610.3730072463763</v>
      </c>
      <c r="P827" s="6">
        <f t="shared" si="131"/>
        <v>0</v>
      </c>
      <c r="Q827" s="6">
        <f t="shared" si="131"/>
        <v>0</v>
      </c>
      <c r="R827" s="19">
        <f t="shared" si="131"/>
        <v>2154.1637643333333</v>
      </c>
      <c r="S827" s="19">
        <f t="shared" si="131"/>
        <v>861.6655057333332</v>
      </c>
      <c r="T827" s="19">
        <f t="shared" si="131"/>
        <v>430.8327528666666</v>
      </c>
      <c r="U827" s="19">
        <f t="shared" si="131"/>
        <v>430.8327528666666</v>
      </c>
      <c r="V827" s="19">
        <f t="shared" si="131"/>
        <v>430.8327528666666</v>
      </c>
      <c r="W827" s="19">
        <f t="shared" si="131"/>
        <v>0</v>
      </c>
      <c r="X827" s="19">
        <f t="shared" si="131"/>
        <v>0</v>
      </c>
      <c r="Y827" s="4">
        <f aca="true" t="shared" si="132" ref="Y827:Y886">U827*2</f>
        <v>861.6655057333332</v>
      </c>
    </row>
    <row r="828" spans="1:25" ht="12.75" customHeight="1" outlineLevel="1">
      <c r="A828" s="161" t="s">
        <v>432</v>
      </c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4">
        <f t="shared" si="132"/>
        <v>0</v>
      </c>
    </row>
    <row r="829" spans="1:25" ht="12.75" customHeight="1" outlineLevel="2">
      <c r="A829" s="170">
        <v>1</v>
      </c>
      <c r="B829" s="153" t="s">
        <v>616</v>
      </c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4">
        <f t="shared" si="132"/>
        <v>0</v>
      </c>
    </row>
    <row r="830" spans="1:25" ht="18" outlineLevel="2">
      <c r="A830" s="170"/>
      <c r="B830" s="15">
        <f>D830+G830+J830</f>
        <v>25</v>
      </c>
      <c r="C830" s="16">
        <f>E830+H830+K830</f>
        <v>82.671875</v>
      </c>
      <c r="D830" s="15">
        <v>25</v>
      </c>
      <c r="E830" s="8">
        <f>D830*FORECAST(D830,AA$11:AA$12,Z$11:Z$12)</f>
        <v>82.671875</v>
      </c>
      <c r="F830" s="15" t="s">
        <v>433</v>
      </c>
      <c r="G830" s="15"/>
      <c r="H830" s="15"/>
      <c r="I830" s="15"/>
      <c r="J830" s="15"/>
      <c r="K830" s="15"/>
      <c r="L830" s="15"/>
      <c r="M830" s="15"/>
      <c r="N830" s="15">
        <v>550</v>
      </c>
      <c r="O830" s="8">
        <f>C830/0.92</f>
        <v>89.86073369565217</v>
      </c>
      <c r="P830" s="6"/>
      <c r="Q830" s="6"/>
      <c r="R830" s="8">
        <f>1.454*C830</f>
        <v>120.20490625</v>
      </c>
      <c r="S830" s="9">
        <f>E830*1.454*0.4</f>
        <v>48.0819625</v>
      </c>
      <c r="T830" s="9">
        <f>E830*1.454*0.2</f>
        <v>24.04098125</v>
      </c>
      <c r="U830" s="9">
        <f>E830*1.454*0.2</f>
        <v>24.04098125</v>
      </c>
      <c r="V830" s="9">
        <f>E830*1.454*0.2</f>
        <v>24.04098125</v>
      </c>
      <c r="W830" s="9">
        <f>H830*1.454</f>
        <v>0</v>
      </c>
      <c r="X830" s="9">
        <f>K830*1.454</f>
        <v>0</v>
      </c>
      <c r="Y830" s="4">
        <f t="shared" si="132"/>
        <v>48.0819625</v>
      </c>
    </row>
    <row r="831" spans="1:25" ht="12.75" customHeight="1" outlineLevel="2">
      <c r="A831" s="170">
        <v>2</v>
      </c>
      <c r="B831" s="162" t="s">
        <v>617</v>
      </c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4">
        <f t="shared" si="132"/>
        <v>0</v>
      </c>
    </row>
    <row r="832" spans="1:25" ht="18" outlineLevel="2">
      <c r="A832" s="170"/>
      <c r="B832" s="15">
        <f>D832+G832+J832</f>
        <v>10</v>
      </c>
      <c r="C832" s="16">
        <f>E832+H832+K832</f>
        <v>55.26666666666667</v>
      </c>
      <c r="D832" s="15">
        <v>10</v>
      </c>
      <c r="E832" s="8">
        <f>D832*FORECAST(D832,AA$7:AA$8,Z$7:Z$8)</f>
        <v>55.26666666666667</v>
      </c>
      <c r="F832" s="15" t="s">
        <v>433</v>
      </c>
      <c r="G832" s="15"/>
      <c r="H832" s="15"/>
      <c r="I832" s="15"/>
      <c r="J832" s="15"/>
      <c r="K832" s="15"/>
      <c r="L832" s="15"/>
      <c r="M832" s="15"/>
      <c r="N832" s="15">
        <v>230</v>
      </c>
      <c r="O832" s="8">
        <f>C832/0.92</f>
        <v>60.072463768115945</v>
      </c>
      <c r="P832" s="6"/>
      <c r="Q832" s="6"/>
      <c r="R832" s="8">
        <f>1.454*C832</f>
        <v>80.35773333333334</v>
      </c>
      <c r="S832" s="9">
        <f>E832*1.454*0.4</f>
        <v>32.14309333333334</v>
      </c>
      <c r="T832" s="9">
        <f>E832*1.454*0.2</f>
        <v>16.07154666666667</v>
      </c>
      <c r="U832" s="9">
        <f>E832*1.454*0.2</f>
        <v>16.07154666666667</v>
      </c>
      <c r="V832" s="9">
        <f>E832*1.454*0.2</f>
        <v>16.07154666666667</v>
      </c>
      <c r="W832" s="9">
        <f>H832*1.454</f>
        <v>0</v>
      </c>
      <c r="X832" s="9">
        <f>K832*1.454</f>
        <v>0</v>
      </c>
      <c r="Y832" s="4">
        <f t="shared" si="132"/>
        <v>32.14309333333334</v>
      </c>
    </row>
    <row r="833" spans="1:25" ht="12.75" customHeight="1" outlineLevel="2">
      <c r="A833" s="170">
        <v>3</v>
      </c>
      <c r="B833" s="162" t="s">
        <v>618</v>
      </c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4">
        <f t="shared" si="132"/>
        <v>0</v>
      </c>
    </row>
    <row r="834" spans="1:25" ht="18" outlineLevel="2">
      <c r="A834" s="170"/>
      <c r="B834" s="15">
        <f>D834+G834+J834</f>
        <v>10</v>
      </c>
      <c r="C834" s="16">
        <f>E834+H834+K834</f>
        <v>55.26666666666667</v>
      </c>
      <c r="D834" s="15">
        <v>10</v>
      </c>
      <c r="E834" s="8">
        <f>D834*FORECAST(D834,AA$7:AA$8,Z$7:Z$8)</f>
        <v>55.26666666666667</v>
      </c>
      <c r="F834" s="15" t="s">
        <v>433</v>
      </c>
      <c r="G834" s="15"/>
      <c r="H834" s="15"/>
      <c r="I834" s="15"/>
      <c r="J834" s="15"/>
      <c r="K834" s="15"/>
      <c r="L834" s="15"/>
      <c r="M834" s="15"/>
      <c r="N834" s="15">
        <v>250</v>
      </c>
      <c r="O834" s="8">
        <f>C834/0.92</f>
        <v>60.072463768115945</v>
      </c>
      <c r="P834" s="6"/>
      <c r="Q834" s="6"/>
      <c r="R834" s="8">
        <f>1.454*C834</f>
        <v>80.35773333333334</v>
      </c>
      <c r="S834" s="9">
        <f>E834*1.454*0.4</f>
        <v>32.14309333333334</v>
      </c>
      <c r="T834" s="9">
        <f>E834*1.454*0.2</f>
        <v>16.07154666666667</v>
      </c>
      <c r="U834" s="9">
        <f>E834*1.454*0.2</f>
        <v>16.07154666666667</v>
      </c>
      <c r="V834" s="9">
        <f>E834*1.454*0.2</f>
        <v>16.07154666666667</v>
      </c>
      <c r="W834" s="9">
        <f>H834*1.454</f>
        <v>0</v>
      </c>
      <c r="X834" s="9">
        <f>K834*1.454</f>
        <v>0</v>
      </c>
      <c r="Y834" s="4">
        <f t="shared" si="132"/>
        <v>32.14309333333334</v>
      </c>
    </row>
    <row r="835" spans="1:25" ht="36" outlineLevel="1">
      <c r="A835" s="6" t="s">
        <v>438</v>
      </c>
      <c r="B835" s="6">
        <f>B830+B832+B834</f>
        <v>45</v>
      </c>
      <c r="C835" s="19">
        <f>C830+C832+C834</f>
        <v>193.20520833333336</v>
      </c>
      <c r="D835" s="6">
        <f>D830+D832+D834</f>
        <v>45</v>
      </c>
      <c r="E835" s="19">
        <f>E830+E832+E834</f>
        <v>193.20520833333336</v>
      </c>
      <c r="F835" s="6" t="s">
        <v>433</v>
      </c>
      <c r="G835" s="6">
        <f>G830+G832+G834</f>
        <v>0</v>
      </c>
      <c r="H835" s="6">
        <f>H830+H832+H834</f>
        <v>0</v>
      </c>
      <c r="I835" s="6" t="s">
        <v>441</v>
      </c>
      <c r="J835" s="6">
        <f>J830+J832+J834</f>
        <v>0</v>
      </c>
      <c r="K835" s="6">
        <f>K830+K832+K834</f>
        <v>0</v>
      </c>
      <c r="L835" s="6" t="s">
        <v>441</v>
      </c>
      <c r="M835" s="6">
        <f aca="true" t="shared" si="133" ref="M835:X835">M830+M832+M834</f>
        <v>0</v>
      </c>
      <c r="N835" s="6">
        <f t="shared" si="133"/>
        <v>1030</v>
      </c>
      <c r="O835" s="19">
        <f t="shared" si="133"/>
        <v>210.00566123188406</v>
      </c>
      <c r="P835" s="6">
        <f t="shared" si="133"/>
        <v>0</v>
      </c>
      <c r="Q835" s="6">
        <f t="shared" si="133"/>
        <v>0</v>
      </c>
      <c r="R835" s="19">
        <f t="shared" si="133"/>
        <v>280.9203729166667</v>
      </c>
      <c r="S835" s="19">
        <f t="shared" si="133"/>
        <v>112.36814916666668</v>
      </c>
      <c r="T835" s="19">
        <f t="shared" si="133"/>
        <v>56.18407458333334</v>
      </c>
      <c r="U835" s="19">
        <f t="shared" si="133"/>
        <v>56.18407458333334</v>
      </c>
      <c r="V835" s="19">
        <f t="shared" si="133"/>
        <v>56.18407458333334</v>
      </c>
      <c r="W835" s="19">
        <f t="shared" si="133"/>
        <v>0</v>
      </c>
      <c r="X835" s="19">
        <f t="shared" si="133"/>
        <v>0</v>
      </c>
      <c r="Y835" s="4">
        <f t="shared" si="132"/>
        <v>112.36814916666668</v>
      </c>
    </row>
    <row r="836" spans="1:25" ht="12.75" customHeight="1" outlineLevel="1">
      <c r="A836" s="161" t="s">
        <v>439</v>
      </c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4">
        <f t="shared" si="132"/>
        <v>0</v>
      </c>
    </row>
    <row r="837" spans="1:25" ht="12.75" customHeight="1" outlineLevel="2">
      <c r="A837" s="170">
        <v>1</v>
      </c>
      <c r="B837" s="162" t="s">
        <v>619</v>
      </c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4">
        <f t="shared" si="132"/>
        <v>0</v>
      </c>
    </row>
    <row r="838" spans="1:25" ht="18" outlineLevel="2">
      <c r="A838" s="170"/>
      <c r="B838" s="15">
        <f>D838+G838+J838</f>
        <v>40</v>
      </c>
      <c r="C838" s="15">
        <f>E838+H838+K838</f>
        <v>106.4</v>
      </c>
      <c r="D838" s="15">
        <v>40</v>
      </c>
      <c r="E838" s="8">
        <f>D838*FORECAST(D838,AA$11:AA$12,Z$11:Z$12)</f>
        <v>106.4</v>
      </c>
      <c r="F838" s="15" t="s">
        <v>433</v>
      </c>
      <c r="G838" s="15"/>
      <c r="H838" s="15"/>
      <c r="I838" s="15"/>
      <c r="J838" s="15"/>
      <c r="K838" s="15"/>
      <c r="L838" s="15"/>
      <c r="M838" s="15"/>
      <c r="N838" s="15">
        <v>500</v>
      </c>
      <c r="O838" s="8">
        <f>C838/0.92</f>
        <v>115.65217391304348</v>
      </c>
      <c r="P838" s="6"/>
      <c r="Q838" s="6"/>
      <c r="R838" s="8">
        <f>1.454*C838</f>
        <v>154.7056</v>
      </c>
      <c r="S838" s="9">
        <f>E838*1.454*0.4</f>
        <v>61.88224</v>
      </c>
      <c r="T838" s="9">
        <f>E838*1.454*0.2</f>
        <v>30.94112</v>
      </c>
      <c r="U838" s="9">
        <f>E838*1.454*0.2</f>
        <v>30.94112</v>
      </c>
      <c r="V838" s="9">
        <f>E838*1.454*0.2</f>
        <v>30.94112</v>
      </c>
      <c r="W838" s="9">
        <f>H838*1.454</f>
        <v>0</v>
      </c>
      <c r="X838" s="9">
        <f>K838*1.454</f>
        <v>0</v>
      </c>
      <c r="Y838" s="4">
        <f t="shared" si="132"/>
        <v>61.88224</v>
      </c>
    </row>
    <row r="839" spans="1:25" ht="12.75" customHeight="1" outlineLevel="2">
      <c r="A839" s="170">
        <v>2</v>
      </c>
      <c r="B839" s="153" t="s">
        <v>620</v>
      </c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4">
        <f t="shared" si="132"/>
        <v>0</v>
      </c>
    </row>
    <row r="840" spans="1:25" ht="18" outlineLevel="2">
      <c r="A840" s="170"/>
      <c r="B840" s="15">
        <f>D840+G840+J840</f>
        <v>60</v>
      </c>
      <c r="C840" s="15">
        <f>E840+H840+K840</f>
        <v>142.79999999999998</v>
      </c>
      <c r="D840" s="15">
        <v>60</v>
      </c>
      <c r="E840" s="8">
        <f>D840*FORECAST(D840,AA$12:AA$13,Z$12:Z$13)</f>
        <v>142.79999999999998</v>
      </c>
      <c r="F840" s="15" t="s">
        <v>433</v>
      </c>
      <c r="G840" s="15"/>
      <c r="H840" s="15"/>
      <c r="I840" s="15"/>
      <c r="J840" s="15"/>
      <c r="K840" s="15"/>
      <c r="L840" s="15"/>
      <c r="M840" s="15"/>
      <c r="N840" s="15">
        <v>750</v>
      </c>
      <c r="O840" s="8">
        <f>C840/0.92</f>
        <v>155.2173913043478</v>
      </c>
      <c r="P840" s="6"/>
      <c r="Q840" s="6"/>
      <c r="R840" s="8">
        <f>1.454*C840</f>
        <v>207.63119999999998</v>
      </c>
      <c r="S840" s="9">
        <f>E840*1.454*0.4</f>
        <v>83.05248</v>
      </c>
      <c r="T840" s="9">
        <f>E840*1.454*0.2</f>
        <v>41.52624</v>
      </c>
      <c r="U840" s="9">
        <f>E840*1.454*0.2</f>
        <v>41.52624</v>
      </c>
      <c r="V840" s="9">
        <f>E840*1.454*0.2</f>
        <v>41.52624</v>
      </c>
      <c r="W840" s="9">
        <f>H840*1.454</f>
        <v>0</v>
      </c>
      <c r="X840" s="9">
        <f>K840*1.454</f>
        <v>0</v>
      </c>
      <c r="Y840" s="4">
        <f t="shared" si="132"/>
        <v>83.05248</v>
      </c>
    </row>
    <row r="841" spans="1:25" ht="36" outlineLevel="1">
      <c r="A841" s="6" t="s">
        <v>456</v>
      </c>
      <c r="B841" s="6">
        <f>B838+B840</f>
        <v>100</v>
      </c>
      <c r="C841" s="6">
        <f>C838+C840</f>
        <v>249.2</v>
      </c>
      <c r="D841" s="6">
        <f>D838+D840</f>
        <v>100</v>
      </c>
      <c r="E841" s="6">
        <f>E838+E840</f>
        <v>249.2</v>
      </c>
      <c r="F841" s="6" t="s">
        <v>433</v>
      </c>
      <c r="G841" s="6">
        <f>G838+G840</f>
        <v>0</v>
      </c>
      <c r="H841" s="6">
        <f>H838+H840</f>
        <v>0</v>
      </c>
      <c r="I841" s="6" t="s">
        <v>441</v>
      </c>
      <c r="J841" s="6">
        <f>J838+J840</f>
        <v>0</v>
      </c>
      <c r="K841" s="6">
        <f>K838+K840</f>
        <v>0</v>
      </c>
      <c r="L841" s="6" t="s">
        <v>441</v>
      </c>
      <c r="M841" s="6">
        <f aca="true" t="shared" si="134" ref="M841:X841">M838+M840</f>
        <v>0</v>
      </c>
      <c r="N841" s="6">
        <f t="shared" si="134"/>
        <v>1250</v>
      </c>
      <c r="O841" s="19">
        <f t="shared" si="134"/>
        <v>270.8695652173913</v>
      </c>
      <c r="P841" s="6">
        <f t="shared" si="134"/>
        <v>0</v>
      </c>
      <c r="Q841" s="6">
        <f t="shared" si="134"/>
        <v>0</v>
      </c>
      <c r="R841" s="19">
        <f t="shared" si="134"/>
        <v>362.3368</v>
      </c>
      <c r="S841" s="19">
        <f t="shared" si="134"/>
        <v>144.93472</v>
      </c>
      <c r="T841" s="19">
        <f t="shared" si="134"/>
        <v>72.46736</v>
      </c>
      <c r="U841" s="19">
        <f t="shared" si="134"/>
        <v>72.46736</v>
      </c>
      <c r="V841" s="19">
        <f t="shared" si="134"/>
        <v>72.46736</v>
      </c>
      <c r="W841" s="19">
        <f t="shared" si="134"/>
        <v>0</v>
      </c>
      <c r="X841" s="19">
        <f t="shared" si="134"/>
        <v>0</v>
      </c>
      <c r="Y841" s="4">
        <f t="shared" si="132"/>
        <v>144.93472</v>
      </c>
    </row>
    <row r="842" spans="1:25" ht="12.75" customHeight="1" outlineLevel="1">
      <c r="A842" s="161" t="s">
        <v>440</v>
      </c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4">
        <f t="shared" si="132"/>
        <v>0</v>
      </c>
    </row>
    <row r="843" spans="1:25" ht="12.75" customHeight="1" outlineLevel="2">
      <c r="A843" s="170">
        <v>1</v>
      </c>
      <c r="B843" s="153" t="s">
        <v>674</v>
      </c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4">
        <f t="shared" si="132"/>
        <v>0</v>
      </c>
    </row>
    <row r="844" spans="1:25" ht="18" outlineLevel="2">
      <c r="A844" s="170"/>
      <c r="B844" s="15">
        <f>D844+G844+J844</f>
        <v>20</v>
      </c>
      <c r="C844" s="15">
        <f>E844+H844+K844</f>
        <v>74.6</v>
      </c>
      <c r="D844" s="15">
        <v>20</v>
      </c>
      <c r="E844" s="8">
        <f>D844*FORECAST(D844,AA$10:AA$11,Z$10:Z$11)</f>
        <v>74.6</v>
      </c>
      <c r="F844" s="15" t="s">
        <v>433</v>
      </c>
      <c r="G844" s="15"/>
      <c r="H844" s="15"/>
      <c r="I844" s="15"/>
      <c r="J844" s="15"/>
      <c r="K844" s="15"/>
      <c r="L844" s="15"/>
      <c r="M844" s="15"/>
      <c r="N844" s="15">
        <v>220</v>
      </c>
      <c r="O844" s="8">
        <f>C844/0.92</f>
        <v>81.08695652173913</v>
      </c>
      <c r="P844" s="6"/>
      <c r="Q844" s="6"/>
      <c r="R844" s="8">
        <f>1.454*C844</f>
        <v>108.46839999999999</v>
      </c>
      <c r="S844" s="9">
        <f>E844*1.454*0.4</f>
        <v>43.38736</v>
      </c>
      <c r="T844" s="9">
        <f>E844*1.454*0.2</f>
        <v>21.69368</v>
      </c>
      <c r="U844" s="9">
        <f>E844*1.454*0.2</f>
        <v>21.69368</v>
      </c>
      <c r="V844" s="9">
        <f>E844*1.454*0.2</f>
        <v>21.69368</v>
      </c>
      <c r="W844" s="9">
        <f>H844*1.454</f>
        <v>0</v>
      </c>
      <c r="X844" s="9">
        <f>K844*1.454</f>
        <v>0</v>
      </c>
      <c r="Y844" s="4">
        <f t="shared" si="132"/>
        <v>43.38736</v>
      </c>
    </row>
    <row r="845" spans="1:25" ht="12.75" customHeight="1" outlineLevel="2">
      <c r="A845" s="170">
        <v>2</v>
      </c>
      <c r="B845" s="162" t="s">
        <v>621</v>
      </c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4">
        <f t="shared" si="132"/>
        <v>0</v>
      </c>
    </row>
    <row r="846" spans="1:25" ht="18" outlineLevel="2">
      <c r="A846" s="170"/>
      <c r="B846" s="15">
        <f>D846+G846+J846</f>
        <v>44</v>
      </c>
      <c r="C846" s="16">
        <f>E846+H846+K846</f>
        <v>114.57600000000001</v>
      </c>
      <c r="D846" s="15">
        <v>44</v>
      </c>
      <c r="E846" s="8">
        <f>D846*FORECAST(D846,AA$12:AA$13,Z$12:Z$13)</f>
        <v>114.57600000000001</v>
      </c>
      <c r="F846" s="15" t="s">
        <v>433</v>
      </c>
      <c r="G846" s="15"/>
      <c r="H846" s="15"/>
      <c r="I846" s="15"/>
      <c r="J846" s="15"/>
      <c r="K846" s="15"/>
      <c r="L846" s="15"/>
      <c r="M846" s="15"/>
      <c r="N846" s="15">
        <v>550</v>
      </c>
      <c r="O846" s="8">
        <f>C846/0.92</f>
        <v>124.5391304347826</v>
      </c>
      <c r="P846" s="6"/>
      <c r="Q846" s="6"/>
      <c r="R846" s="8">
        <f>1.454*C846</f>
        <v>166.593504</v>
      </c>
      <c r="S846" s="9">
        <f>E846*1.454*0.4</f>
        <v>66.6374016</v>
      </c>
      <c r="T846" s="9">
        <f>E846*1.454*0.2</f>
        <v>33.3187008</v>
      </c>
      <c r="U846" s="9">
        <f>E846*1.454*0.2</f>
        <v>33.3187008</v>
      </c>
      <c r="V846" s="9">
        <f>E846*1.454*0.2</f>
        <v>33.3187008</v>
      </c>
      <c r="W846" s="9">
        <f>H846*1.454</f>
        <v>0</v>
      </c>
      <c r="X846" s="9">
        <f>K846*1.454</f>
        <v>0</v>
      </c>
      <c r="Y846" s="4">
        <f t="shared" si="132"/>
        <v>66.6374016</v>
      </c>
    </row>
    <row r="847" spans="1:25" ht="12.75" customHeight="1" outlineLevel="2">
      <c r="A847" s="170">
        <v>3</v>
      </c>
      <c r="B847" s="162" t="s">
        <v>622</v>
      </c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4">
        <f t="shared" si="132"/>
        <v>0</v>
      </c>
    </row>
    <row r="848" spans="1:25" ht="18" outlineLevel="2">
      <c r="A848" s="170"/>
      <c r="B848" s="15">
        <f>D848+G848+J848</f>
        <v>24</v>
      </c>
      <c r="C848" s="16">
        <f>E848+H848+K848</f>
        <v>69.21600000000001</v>
      </c>
      <c r="D848" s="15">
        <v>24</v>
      </c>
      <c r="E848" s="8">
        <f>D848*FORECAST(D848,AA$12:AA$13,Z$12:Z$13)</f>
        <v>69.21600000000001</v>
      </c>
      <c r="F848" s="15" t="s">
        <v>433</v>
      </c>
      <c r="G848" s="15"/>
      <c r="H848" s="15"/>
      <c r="I848" s="15"/>
      <c r="J848" s="15"/>
      <c r="K848" s="15"/>
      <c r="L848" s="15"/>
      <c r="M848" s="15"/>
      <c r="N848" s="15">
        <v>300</v>
      </c>
      <c r="O848" s="8">
        <f>C848/0.92</f>
        <v>75.23478260869565</v>
      </c>
      <c r="P848" s="6"/>
      <c r="Q848" s="6"/>
      <c r="R848" s="8">
        <f>1.454*C848</f>
        <v>100.64006400000001</v>
      </c>
      <c r="S848" s="9">
        <f>E848*1.454*0.4</f>
        <v>40.25602560000001</v>
      </c>
      <c r="T848" s="9">
        <f>E848*1.454*0.2</f>
        <v>20.128012800000004</v>
      </c>
      <c r="U848" s="9">
        <f>E848*1.454*0.2</f>
        <v>20.128012800000004</v>
      </c>
      <c r="V848" s="9">
        <f>E848*1.454*0.2</f>
        <v>20.128012800000004</v>
      </c>
      <c r="W848" s="9">
        <f>H848*1.454</f>
        <v>0</v>
      </c>
      <c r="X848" s="9">
        <f>K848*1.454</f>
        <v>0</v>
      </c>
      <c r="Y848" s="4">
        <f t="shared" si="132"/>
        <v>40.25602560000001</v>
      </c>
    </row>
    <row r="849" spans="1:25" ht="36" outlineLevel="2">
      <c r="A849" s="6" t="s">
        <v>431</v>
      </c>
      <c r="B849" s="6">
        <f>B844+B846+B848</f>
        <v>88</v>
      </c>
      <c r="C849" s="19">
        <f>C844+C846+C848</f>
        <v>258.392</v>
      </c>
      <c r="D849" s="6">
        <f>D844+D846+D848</f>
        <v>88</v>
      </c>
      <c r="E849" s="19">
        <f>E844+E846+E848</f>
        <v>258.392</v>
      </c>
      <c r="F849" s="6" t="s">
        <v>433</v>
      </c>
      <c r="G849" s="6">
        <f>G844+G846+G848</f>
        <v>0</v>
      </c>
      <c r="H849" s="6">
        <f>H844+H846+H848</f>
        <v>0</v>
      </c>
      <c r="I849" s="6" t="s">
        <v>441</v>
      </c>
      <c r="J849" s="6">
        <f>J844+J846+J848</f>
        <v>0</v>
      </c>
      <c r="K849" s="6">
        <f>K844+K846+K848</f>
        <v>0</v>
      </c>
      <c r="L849" s="6" t="s">
        <v>441</v>
      </c>
      <c r="M849" s="6">
        <f aca="true" t="shared" si="135" ref="M849:X849">M844+M846+M848</f>
        <v>0</v>
      </c>
      <c r="N849" s="6">
        <f t="shared" si="135"/>
        <v>1070</v>
      </c>
      <c r="O849" s="19">
        <f t="shared" si="135"/>
        <v>280.8608695652174</v>
      </c>
      <c r="P849" s="6">
        <f t="shared" si="135"/>
        <v>0</v>
      </c>
      <c r="Q849" s="6">
        <f t="shared" si="135"/>
        <v>0</v>
      </c>
      <c r="R849" s="19">
        <f t="shared" si="135"/>
        <v>375.70196799999997</v>
      </c>
      <c r="S849" s="19">
        <f t="shared" si="135"/>
        <v>150.28078720000002</v>
      </c>
      <c r="T849" s="19">
        <f t="shared" si="135"/>
        <v>75.14039360000001</v>
      </c>
      <c r="U849" s="19">
        <f t="shared" si="135"/>
        <v>75.14039360000001</v>
      </c>
      <c r="V849" s="19">
        <f t="shared" si="135"/>
        <v>75.14039360000001</v>
      </c>
      <c r="W849" s="19">
        <f t="shared" si="135"/>
        <v>0</v>
      </c>
      <c r="X849" s="19">
        <f t="shared" si="135"/>
        <v>0</v>
      </c>
      <c r="Y849" s="4">
        <f t="shared" si="132"/>
        <v>150.28078720000002</v>
      </c>
    </row>
    <row r="850" spans="1:25" ht="12.75" customHeight="1" outlineLevel="2">
      <c r="A850" s="170">
        <v>1</v>
      </c>
      <c r="B850" s="153" t="s">
        <v>623</v>
      </c>
      <c r="C850" s="153"/>
      <c r="D850" s="153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4">
        <f t="shared" si="132"/>
        <v>0</v>
      </c>
    </row>
    <row r="851" spans="1:25" ht="18" outlineLevel="2">
      <c r="A851" s="170"/>
      <c r="B851" s="15">
        <f>D851+G851+J851</f>
        <v>30</v>
      </c>
      <c r="C851" s="15">
        <f>E851+H851+K851</f>
        <v>84.00000000000001</v>
      </c>
      <c r="D851" s="15">
        <v>30</v>
      </c>
      <c r="E851" s="8">
        <f>D851*FORECAST(D851,AA$12:AA$13,Z$12:Z$13)</f>
        <v>84.00000000000001</v>
      </c>
      <c r="F851" s="15" t="s">
        <v>433</v>
      </c>
      <c r="G851" s="15"/>
      <c r="H851" s="15"/>
      <c r="I851" s="15"/>
      <c r="J851" s="15"/>
      <c r="K851" s="15"/>
      <c r="L851" s="15"/>
      <c r="M851" s="15"/>
      <c r="N851" s="15">
        <v>900</v>
      </c>
      <c r="O851" s="8">
        <f>C851/0.92</f>
        <v>91.30434782608697</v>
      </c>
      <c r="P851" s="6"/>
      <c r="Q851" s="6"/>
      <c r="R851" s="8">
        <f>1.454*C851</f>
        <v>122.13600000000002</v>
      </c>
      <c r="S851" s="9">
        <f>E851*1.454*0.4</f>
        <v>48.85440000000001</v>
      </c>
      <c r="T851" s="9">
        <f>E851*1.454*0.2</f>
        <v>24.427200000000006</v>
      </c>
      <c r="U851" s="9">
        <f>E851*1.454*0.2</f>
        <v>24.427200000000006</v>
      </c>
      <c r="V851" s="9">
        <f>E851*1.454*0.2</f>
        <v>24.427200000000006</v>
      </c>
      <c r="W851" s="9">
        <f>H851*1.454</f>
        <v>0</v>
      </c>
      <c r="X851" s="9">
        <f>K851*1.454</f>
        <v>0</v>
      </c>
      <c r="Y851" s="4">
        <f t="shared" si="132"/>
        <v>48.85440000000001</v>
      </c>
    </row>
    <row r="852" spans="1:25" ht="12.75" customHeight="1" outlineLevel="2">
      <c r="A852" s="170">
        <v>1</v>
      </c>
      <c r="B852" s="162" t="s">
        <v>624</v>
      </c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4">
        <f t="shared" si="132"/>
        <v>0</v>
      </c>
    </row>
    <row r="853" spans="1:25" ht="18" outlineLevel="2">
      <c r="A853" s="170"/>
      <c r="B853" s="15">
        <f>D853+G853+J853</f>
        <v>35</v>
      </c>
      <c r="C853" s="16">
        <f>E853+H853+K853</f>
        <v>95.55000000000001</v>
      </c>
      <c r="D853" s="15">
        <v>35</v>
      </c>
      <c r="E853" s="8">
        <f>D853*FORECAST(D853,AA$12:AA$13,Z$12:Z$13)</f>
        <v>95.55000000000001</v>
      </c>
      <c r="F853" s="15" t="s">
        <v>433</v>
      </c>
      <c r="G853" s="15"/>
      <c r="H853" s="15"/>
      <c r="I853" s="15"/>
      <c r="J853" s="15"/>
      <c r="K853" s="15"/>
      <c r="L853" s="15"/>
      <c r="M853" s="15"/>
      <c r="N853" s="15">
        <v>700</v>
      </c>
      <c r="O853" s="8">
        <f>C853/0.92</f>
        <v>103.85869565217392</v>
      </c>
      <c r="P853" s="6"/>
      <c r="Q853" s="6"/>
      <c r="R853" s="8">
        <f>1.454*C853</f>
        <v>138.92970000000003</v>
      </c>
      <c r="S853" s="9">
        <f>E853*1.454*0.4</f>
        <v>55.571880000000014</v>
      </c>
      <c r="T853" s="9">
        <f>E853*1.454*0.2</f>
        <v>27.785940000000007</v>
      </c>
      <c r="U853" s="9">
        <f>E853*1.454*0.2</f>
        <v>27.785940000000007</v>
      </c>
      <c r="V853" s="9">
        <f>E853*1.454*0.2</f>
        <v>27.785940000000007</v>
      </c>
      <c r="W853" s="9">
        <f>H853*1.454</f>
        <v>0</v>
      </c>
      <c r="X853" s="9">
        <f>K853*1.454</f>
        <v>0</v>
      </c>
      <c r="Y853" s="4">
        <f t="shared" si="132"/>
        <v>55.571880000000014</v>
      </c>
    </row>
    <row r="854" spans="1:25" ht="36" outlineLevel="1">
      <c r="A854" s="6" t="s">
        <v>450</v>
      </c>
      <c r="B854" s="6">
        <f>B849+B851+B853</f>
        <v>153</v>
      </c>
      <c r="C854" s="19">
        <f>C849+C851+C853</f>
        <v>437.942</v>
      </c>
      <c r="D854" s="6">
        <f>D849+D851+D853</f>
        <v>153</v>
      </c>
      <c r="E854" s="19">
        <f>E849+E851+E853</f>
        <v>437.942</v>
      </c>
      <c r="F854" s="6" t="s">
        <v>433</v>
      </c>
      <c r="G854" s="6">
        <f>G849+G851+G853</f>
        <v>0</v>
      </c>
      <c r="H854" s="6">
        <f>H849+H851+H853</f>
        <v>0</v>
      </c>
      <c r="I854" s="15" t="s">
        <v>441</v>
      </c>
      <c r="J854" s="6">
        <f>J849+J851+J853</f>
        <v>0</v>
      </c>
      <c r="K854" s="6">
        <f>K849+K851+K853</f>
        <v>0</v>
      </c>
      <c r="L854" s="15" t="s">
        <v>441</v>
      </c>
      <c r="M854" s="6">
        <f aca="true" t="shared" si="136" ref="M854:R854">M849+M851+M853</f>
        <v>0</v>
      </c>
      <c r="N854" s="6">
        <f t="shared" si="136"/>
        <v>2670</v>
      </c>
      <c r="O854" s="19">
        <f t="shared" si="136"/>
        <v>476.02391304347833</v>
      </c>
      <c r="P854" s="6">
        <f t="shared" si="136"/>
        <v>0</v>
      </c>
      <c r="Q854" s="6">
        <f t="shared" si="136"/>
        <v>0</v>
      </c>
      <c r="R854" s="19">
        <f t="shared" si="136"/>
        <v>636.767668</v>
      </c>
      <c r="S854" s="19">
        <f aca="true" t="shared" si="137" ref="S854:X854">S849+S851+S853</f>
        <v>254.70706720000004</v>
      </c>
      <c r="T854" s="19">
        <f t="shared" si="137"/>
        <v>127.35353360000002</v>
      </c>
      <c r="U854" s="19">
        <f t="shared" si="137"/>
        <v>127.35353360000002</v>
      </c>
      <c r="V854" s="19">
        <f t="shared" si="137"/>
        <v>127.35353360000002</v>
      </c>
      <c r="W854" s="19">
        <f t="shared" si="137"/>
        <v>0</v>
      </c>
      <c r="X854" s="19">
        <f t="shared" si="137"/>
        <v>0</v>
      </c>
      <c r="Y854" s="4">
        <f t="shared" si="132"/>
        <v>254.70706720000004</v>
      </c>
    </row>
    <row r="855" spans="1:25" ht="87" customHeight="1">
      <c r="A855" s="6" t="s">
        <v>732</v>
      </c>
      <c r="B855" s="6">
        <f>B827+B835+B841+B854</f>
        <v>808</v>
      </c>
      <c r="C855" s="6">
        <f aca="true" t="shared" si="138" ref="C855:X855">C827+C835+C841+C854</f>
        <v>2361.890375</v>
      </c>
      <c r="D855" s="6">
        <f t="shared" si="138"/>
        <v>808</v>
      </c>
      <c r="E855" s="6">
        <f t="shared" si="138"/>
        <v>2361.890375</v>
      </c>
      <c r="F855" s="6" t="s">
        <v>433</v>
      </c>
      <c r="G855" s="6">
        <f t="shared" si="138"/>
        <v>0</v>
      </c>
      <c r="H855" s="6">
        <f t="shared" si="138"/>
        <v>0</v>
      </c>
      <c r="I855" s="6" t="s">
        <v>698</v>
      </c>
      <c r="J855" s="6">
        <f t="shared" si="138"/>
        <v>0</v>
      </c>
      <c r="K855" s="6">
        <f t="shared" si="138"/>
        <v>0</v>
      </c>
      <c r="L855" s="6" t="s">
        <v>698</v>
      </c>
      <c r="M855" s="6">
        <f t="shared" si="138"/>
        <v>0</v>
      </c>
      <c r="N855" s="6">
        <f t="shared" si="138"/>
        <v>14610</v>
      </c>
      <c r="O855" s="19">
        <f t="shared" si="138"/>
        <v>2567.27214673913</v>
      </c>
      <c r="P855" s="6">
        <f t="shared" si="138"/>
        <v>0</v>
      </c>
      <c r="Q855" s="6">
        <f t="shared" si="138"/>
        <v>0</v>
      </c>
      <c r="R855" s="19">
        <f>R827+R835+R841+R854</f>
        <v>3434.18860525</v>
      </c>
      <c r="S855" s="19">
        <f t="shared" si="138"/>
        <v>1373.6754420999998</v>
      </c>
      <c r="T855" s="19">
        <f t="shared" si="138"/>
        <v>686.8377210499999</v>
      </c>
      <c r="U855" s="19">
        <f t="shared" si="138"/>
        <v>686.8377210499999</v>
      </c>
      <c r="V855" s="19">
        <f t="shared" si="138"/>
        <v>686.8377210499999</v>
      </c>
      <c r="W855" s="19">
        <f t="shared" si="138"/>
        <v>0</v>
      </c>
      <c r="X855" s="19">
        <f t="shared" si="138"/>
        <v>0</v>
      </c>
      <c r="Y855" s="4">
        <f t="shared" si="132"/>
        <v>1373.6754420999998</v>
      </c>
    </row>
    <row r="856" spans="1:25" ht="18">
      <c r="A856" s="171" t="s">
        <v>452</v>
      </c>
      <c r="B856" s="171"/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4">
        <f t="shared" si="132"/>
        <v>0</v>
      </c>
    </row>
    <row r="857" spans="1:25" ht="18.75" outlineLevel="1">
      <c r="A857" s="13">
        <v>1</v>
      </c>
      <c r="B857" s="13">
        <v>2</v>
      </c>
      <c r="C857" s="13">
        <v>3</v>
      </c>
      <c r="D857" s="13">
        <v>4</v>
      </c>
      <c r="E857" s="13">
        <v>5</v>
      </c>
      <c r="F857" s="13">
        <v>6</v>
      </c>
      <c r="G857" s="13">
        <v>7</v>
      </c>
      <c r="H857" s="13">
        <v>8</v>
      </c>
      <c r="I857" s="13">
        <v>9</v>
      </c>
      <c r="J857" s="13">
        <v>10</v>
      </c>
      <c r="K857" s="13">
        <v>11</v>
      </c>
      <c r="L857" s="13">
        <v>12</v>
      </c>
      <c r="M857" s="13">
        <v>13</v>
      </c>
      <c r="N857" s="13">
        <v>14</v>
      </c>
      <c r="O857" s="13">
        <v>15</v>
      </c>
      <c r="P857" s="13">
        <v>16</v>
      </c>
      <c r="Q857" s="13">
        <v>17</v>
      </c>
      <c r="R857" s="13">
        <v>18</v>
      </c>
      <c r="S857" s="89">
        <v>19</v>
      </c>
      <c r="T857" s="14">
        <v>20</v>
      </c>
      <c r="U857" s="14">
        <v>21</v>
      </c>
      <c r="V857" s="14">
        <v>22</v>
      </c>
      <c r="W857" s="14">
        <v>23</v>
      </c>
      <c r="X857" s="14">
        <v>24</v>
      </c>
      <c r="Y857" s="4">
        <f t="shared" si="132"/>
        <v>42</v>
      </c>
    </row>
    <row r="858" spans="1:25" ht="13.5" customHeight="1" outlineLevel="1">
      <c r="A858" s="161" t="s">
        <v>430</v>
      </c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4">
        <f t="shared" si="132"/>
        <v>0</v>
      </c>
    </row>
    <row r="859" spans="1:25" ht="12" customHeight="1" outlineLevel="1">
      <c r="A859" s="164">
        <v>1</v>
      </c>
      <c r="B859" s="162" t="s">
        <v>625</v>
      </c>
      <c r="C859" s="162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4">
        <f t="shared" si="132"/>
        <v>0</v>
      </c>
    </row>
    <row r="860" spans="1:25" ht="17.25" customHeight="1" outlineLevel="1">
      <c r="A860" s="164"/>
      <c r="B860" s="6">
        <f>D860+G860+J860</f>
        <v>117</v>
      </c>
      <c r="C860" s="19">
        <f>E860+H860+K860</f>
        <v>248.74200000000005</v>
      </c>
      <c r="D860" s="6">
        <v>117</v>
      </c>
      <c r="E860" s="8">
        <f>D860*FORECAST(D860,AA$14:AA$15,Z$14:Z$15)</f>
        <v>248.74200000000005</v>
      </c>
      <c r="F860" s="6" t="s">
        <v>453</v>
      </c>
      <c r="G860" s="6">
        <v>0</v>
      </c>
      <c r="H860" s="6">
        <v>0</v>
      </c>
      <c r="I860" s="6" t="s">
        <v>441</v>
      </c>
      <c r="J860" s="6">
        <v>0</v>
      </c>
      <c r="K860" s="6">
        <v>0</v>
      </c>
      <c r="L860" s="6" t="s">
        <v>441</v>
      </c>
      <c r="M860" s="6">
        <v>0</v>
      </c>
      <c r="N860" s="6">
        <v>2900</v>
      </c>
      <c r="O860" s="8">
        <f>C860/0.92</f>
        <v>270.37173913043483</v>
      </c>
      <c r="P860" s="6">
        <v>1</v>
      </c>
      <c r="Q860" s="6">
        <v>585</v>
      </c>
      <c r="R860" s="8">
        <f>1.454*C860</f>
        <v>361.67086800000004</v>
      </c>
      <c r="S860" s="9">
        <f>E860*1.454*0.4</f>
        <v>144.66834720000003</v>
      </c>
      <c r="T860" s="9">
        <f>E860*1.454*0.2</f>
        <v>72.33417360000001</v>
      </c>
      <c r="U860" s="9">
        <f>E860*1.454*0.2</f>
        <v>72.33417360000001</v>
      </c>
      <c r="V860" s="9">
        <f>E860*1.454*0.2</f>
        <v>72.33417360000001</v>
      </c>
      <c r="W860" s="9">
        <f>H860*1.454</f>
        <v>0</v>
      </c>
      <c r="X860" s="9">
        <f>K860*1.454</f>
        <v>0</v>
      </c>
      <c r="Y860" s="4">
        <f t="shared" si="132"/>
        <v>144.66834720000003</v>
      </c>
    </row>
    <row r="861" spans="1:25" ht="14.25" customHeight="1" outlineLevel="1">
      <c r="A861" s="164">
        <v>1</v>
      </c>
      <c r="B861" s="162" t="s">
        <v>626</v>
      </c>
      <c r="C861" s="162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4">
        <f t="shared" si="132"/>
        <v>0</v>
      </c>
    </row>
    <row r="862" spans="1:25" ht="18" outlineLevel="1">
      <c r="A862" s="164"/>
      <c r="B862" s="6">
        <f>D862+G862+J862</f>
        <v>40</v>
      </c>
      <c r="C862" s="6">
        <f>E862+H862+K862</f>
        <v>106.4</v>
      </c>
      <c r="D862" s="6">
        <v>40</v>
      </c>
      <c r="E862" s="8">
        <f>D862*FORECAST(D862,AA$12:AA$13,Z$12:Z$13)</f>
        <v>106.4</v>
      </c>
      <c r="F862" s="6" t="s">
        <v>453</v>
      </c>
      <c r="G862" s="6">
        <v>0</v>
      </c>
      <c r="H862" s="6">
        <v>0</v>
      </c>
      <c r="I862" s="6" t="s">
        <v>441</v>
      </c>
      <c r="J862" s="6">
        <v>0</v>
      </c>
      <c r="K862" s="6">
        <v>0</v>
      </c>
      <c r="L862" s="6" t="s">
        <v>441</v>
      </c>
      <c r="M862" s="6">
        <v>0</v>
      </c>
      <c r="N862" s="6">
        <v>2000</v>
      </c>
      <c r="O862" s="8">
        <f>C862/0.92</f>
        <v>115.65217391304348</v>
      </c>
      <c r="P862" s="6">
        <v>1</v>
      </c>
      <c r="Q862" s="6">
        <v>200</v>
      </c>
      <c r="R862" s="8">
        <f>1.454*C862</f>
        <v>154.7056</v>
      </c>
      <c r="S862" s="9">
        <f>E862*1.454*0.4</f>
        <v>61.88224</v>
      </c>
      <c r="T862" s="9">
        <f>E862*1.454*0.2</f>
        <v>30.94112</v>
      </c>
      <c r="U862" s="9">
        <f>E862*1.454*0.2</f>
        <v>30.94112</v>
      </c>
      <c r="V862" s="9">
        <f>E862*1.454*0.2</f>
        <v>30.94112</v>
      </c>
      <c r="W862" s="9">
        <f>H862*1.454</f>
        <v>0</v>
      </c>
      <c r="X862" s="9">
        <f>K862*1.454</f>
        <v>0</v>
      </c>
      <c r="Y862" s="4">
        <f t="shared" si="132"/>
        <v>61.88224</v>
      </c>
    </row>
    <row r="863" spans="1:25" ht="33" customHeight="1" hidden="1" outlineLevel="1">
      <c r="A863" s="6" t="s">
        <v>434</v>
      </c>
      <c r="B863" s="6">
        <f>B860+B862</f>
        <v>157</v>
      </c>
      <c r="C863" s="19">
        <f aca="true" t="shared" si="139" ref="C863:X863">C860+C862</f>
        <v>355.14200000000005</v>
      </c>
      <c r="D863" s="6">
        <f t="shared" si="139"/>
        <v>157</v>
      </c>
      <c r="E863" s="19">
        <f t="shared" si="139"/>
        <v>355.14200000000005</v>
      </c>
      <c r="F863" s="6" t="s">
        <v>453</v>
      </c>
      <c r="G863" s="6">
        <f t="shared" si="139"/>
        <v>0</v>
      </c>
      <c r="H863" s="6">
        <f t="shared" si="139"/>
        <v>0</v>
      </c>
      <c r="I863" s="6" t="s">
        <v>441</v>
      </c>
      <c r="J863" s="6">
        <f t="shared" si="139"/>
        <v>0</v>
      </c>
      <c r="K863" s="6">
        <f t="shared" si="139"/>
        <v>0</v>
      </c>
      <c r="L863" s="6" t="s">
        <v>441</v>
      </c>
      <c r="M863" s="6">
        <f t="shared" si="139"/>
        <v>0</v>
      </c>
      <c r="N863" s="6">
        <f t="shared" si="139"/>
        <v>4900</v>
      </c>
      <c r="O863" s="19">
        <f t="shared" si="139"/>
        <v>386.02391304347833</v>
      </c>
      <c r="P863" s="6">
        <f t="shared" si="139"/>
        <v>2</v>
      </c>
      <c r="Q863" s="6">
        <f t="shared" si="139"/>
        <v>785</v>
      </c>
      <c r="R863" s="19">
        <f t="shared" si="139"/>
        <v>516.376468</v>
      </c>
      <c r="S863" s="19">
        <f t="shared" si="139"/>
        <v>206.55058720000002</v>
      </c>
      <c r="T863" s="19">
        <f t="shared" si="139"/>
        <v>103.27529360000001</v>
      </c>
      <c r="U863" s="19">
        <f t="shared" si="139"/>
        <v>103.27529360000001</v>
      </c>
      <c r="V863" s="19">
        <f t="shared" si="139"/>
        <v>103.27529360000001</v>
      </c>
      <c r="W863" s="19">
        <f t="shared" si="139"/>
        <v>0</v>
      </c>
      <c r="X863" s="19">
        <f t="shared" si="139"/>
        <v>0</v>
      </c>
      <c r="Y863" s="4">
        <f t="shared" si="132"/>
        <v>206.55058720000002</v>
      </c>
    </row>
    <row r="864" spans="1:25" ht="15" customHeight="1" outlineLevel="2">
      <c r="A864" s="160">
        <v>1</v>
      </c>
      <c r="B864" s="162" t="s">
        <v>627</v>
      </c>
      <c r="C864" s="162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4">
        <f t="shared" si="132"/>
        <v>0</v>
      </c>
    </row>
    <row r="865" spans="1:25" ht="18" outlineLevel="2">
      <c r="A865" s="160"/>
      <c r="B865" s="15">
        <f>D865+G865+J865</f>
        <v>20</v>
      </c>
      <c r="C865" s="15">
        <f>E865+H865+K865</f>
        <v>74.6</v>
      </c>
      <c r="D865" s="15">
        <v>20</v>
      </c>
      <c r="E865" s="8">
        <f>D865*FORECAST(D865,AA$10:AA$11,Z$10:Z$11)</f>
        <v>74.6</v>
      </c>
      <c r="F865" s="15" t="s">
        <v>453</v>
      </c>
      <c r="G865" s="15"/>
      <c r="H865" s="15"/>
      <c r="I865" s="15"/>
      <c r="J865" s="15"/>
      <c r="K865" s="15"/>
      <c r="L865" s="15"/>
      <c r="M865" s="15"/>
      <c r="N865" s="15">
        <v>400</v>
      </c>
      <c r="O865" s="8">
        <f>C865/0.92</f>
        <v>81.08695652173913</v>
      </c>
      <c r="P865" s="15">
        <v>1</v>
      </c>
      <c r="Q865" s="15">
        <v>100</v>
      </c>
      <c r="R865" s="8">
        <f>1.454*C865</f>
        <v>108.46839999999999</v>
      </c>
      <c r="S865" s="9">
        <f>E865*1.454*0.4</f>
        <v>43.38736</v>
      </c>
      <c r="T865" s="9">
        <f>E865*1.454*0.2</f>
        <v>21.69368</v>
      </c>
      <c r="U865" s="9">
        <f>E865*1.454*0.2</f>
        <v>21.69368</v>
      </c>
      <c r="V865" s="9">
        <f>E865*1.454*0.2</f>
        <v>21.69368</v>
      </c>
      <c r="W865" s="9">
        <f>H865*1.454</f>
        <v>0</v>
      </c>
      <c r="X865" s="9">
        <f>K865*1.454</f>
        <v>0</v>
      </c>
      <c r="Y865" s="4">
        <f t="shared" si="132"/>
        <v>43.38736</v>
      </c>
    </row>
    <row r="866" spans="1:25" ht="13.5" customHeight="1" outlineLevel="2">
      <c r="A866" s="160">
        <v>1</v>
      </c>
      <c r="B866" s="162" t="s">
        <v>49</v>
      </c>
      <c r="C866" s="162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4">
        <f t="shared" si="132"/>
        <v>0</v>
      </c>
    </row>
    <row r="867" spans="1:25" ht="18" outlineLevel="2">
      <c r="A867" s="160"/>
      <c r="B867" s="15">
        <f>D867+G867+J867</f>
        <v>100</v>
      </c>
      <c r="C867" s="16">
        <f>E867+H867+K867</f>
        <v>216</v>
      </c>
      <c r="D867" s="15">
        <v>100</v>
      </c>
      <c r="E867" s="8">
        <f>D867*FORECAST(D867,AA$13:AA$14,Z$13:Z$14)</f>
        <v>216</v>
      </c>
      <c r="F867" s="15" t="s">
        <v>453</v>
      </c>
      <c r="G867" s="15"/>
      <c r="H867" s="15"/>
      <c r="I867" s="15"/>
      <c r="J867" s="15"/>
      <c r="K867" s="15"/>
      <c r="L867" s="15"/>
      <c r="M867" s="15"/>
      <c r="N867" s="15">
        <v>4000</v>
      </c>
      <c r="O867" s="8">
        <f>C867/0.92</f>
        <v>234.78260869565216</v>
      </c>
      <c r="P867" s="15">
        <v>1</v>
      </c>
      <c r="Q867" s="15">
        <v>500</v>
      </c>
      <c r="R867" s="8">
        <f>1.454*C867</f>
        <v>314.06399999999996</v>
      </c>
      <c r="S867" s="9">
        <f>E867*1.454*0.4</f>
        <v>125.62559999999999</v>
      </c>
      <c r="T867" s="9">
        <f>E867*1.454*0.2</f>
        <v>62.812799999999996</v>
      </c>
      <c r="U867" s="9">
        <f>E867*1.454*0.2</f>
        <v>62.812799999999996</v>
      </c>
      <c r="V867" s="9">
        <f>E867*1.454*0.2</f>
        <v>62.812799999999996</v>
      </c>
      <c r="W867" s="9">
        <f>H867*1.454</f>
        <v>0</v>
      </c>
      <c r="X867" s="9">
        <f>K867*1.454</f>
        <v>0</v>
      </c>
      <c r="Y867" s="4">
        <f t="shared" si="132"/>
        <v>125.62559999999999</v>
      </c>
    </row>
    <row r="868" spans="1:25" ht="36" hidden="1" outlineLevel="1">
      <c r="A868" s="6" t="s">
        <v>435</v>
      </c>
      <c r="B868" s="6">
        <f>B865+B867</f>
        <v>120</v>
      </c>
      <c r="C868" s="6">
        <f>C865+C867</f>
        <v>290.6</v>
      </c>
      <c r="D868" s="6">
        <f>D865+D867</f>
        <v>120</v>
      </c>
      <c r="E868" s="6">
        <f>E865+E867</f>
        <v>290.6</v>
      </c>
      <c r="F868" s="6" t="s">
        <v>453</v>
      </c>
      <c r="G868" s="6">
        <f>G865+G867</f>
        <v>0</v>
      </c>
      <c r="H868" s="6">
        <f>H865+H867</f>
        <v>0</v>
      </c>
      <c r="I868" s="6" t="s">
        <v>441</v>
      </c>
      <c r="J868" s="6">
        <f>J865+J867</f>
        <v>0</v>
      </c>
      <c r="K868" s="6">
        <f>K865+K867</f>
        <v>0</v>
      </c>
      <c r="L868" s="6" t="s">
        <v>441</v>
      </c>
      <c r="M868" s="6">
        <f aca="true" t="shared" si="140" ref="M868:X868">M865+M867</f>
        <v>0</v>
      </c>
      <c r="N868" s="6">
        <f t="shared" si="140"/>
        <v>4400</v>
      </c>
      <c r="O868" s="19">
        <f t="shared" si="140"/>
        <v>315.86956521739125</v>
      </c>
      <c r="P868" s="6">
        <f t="shared" si="140"/>
        <v>2</v>
      </c>
      <c r="Q868" s="6">
        <f t="shared" si="140"/>
        <v>600</v>
      </c>
      <c r="R868" s="19">
        <f t="shared" si="140"/>
        <v>422.53239999999994</v>
      </c>
      <c r="S868" s="19">
        <f t="shared" si="140"/>
        <v>169.01296</v>
      </c>
      <c r="T868" s="19">
        <f t="shared" si="140"/>
        <v>84.50648</v>
      </c>
      <c r="U868" s="19">
        <f t="shared" si="140"/>
        <v>84.50648</v>
      </c>
      <c r="V868" s="19">
        <f t="shared" si="140"/>
        <v>84.50648</v>
      </c>
      <c r="W868" s="19">
        <f t="shared" si="140"/>
        <v>0</v>
      </c>
      <c r="X868" s="19">
        <f t="shared" si="140"/>
        <v>0</v>
      </c>
      <c r="Y868" s="4">
        <f t="shared" si="132"/>
        <v>169.01296</v>
      </c>
    </row>
    <row r="869" spans="1:25" ht="14.25" customHeight="1" outlineLevel="1">
      <c r="A869" s="164">
        <v>1</v>
      </c>
      <c r="B869" s="162" t="s">
        <v>628</v>
      </c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4">
        <f t="shared" si="132"/>
        <v>0</v>
      </c>
    </row>
    <row r="870" spans="1:25" ht="18" outlineLevel="1">
      <c r="A870" s="164"/>
      <c r="B870" s="6">
        <f>D870+G870+J870</f>
        <v>40</v>
      </c>
      <c r="C870" s="6">
        <f>E870+H870+K870</f>
        <v>106.4</v>
      </c>
      <c r="D870" s="6">
        <v>40</v>
      </c>
      <c r="E870" s="8">
        <f>D870*FORECAST(D870,AA$12:AA$13,Z$12:Z$13)</f>
        <v>106.4</v>
      </c>
      <c r="F870" s="6" t="s">
        <v>453</v>
      </c>
      <c r="G870" s="6">
        <v>0</v>
      </c>
      <c r="H870" s="6">
        <v>0</v>
      </c>
      <c r="I870" s="6" t="s">
        <v>441</v>
      </c>
      <c r="J870" s="6">
        <v>0</v>
      </c>
      <c r="K870" s="6">
        <v>0</v>
      </c>
      <c r="L870" s="6" t="s">
        <v>441</v>
      </c>
      <c r="M870" s="6">
        <v>0</v>
      </c>
      <c r="N870" s="6">
        <v>500</v>
      </c>
      <c r="O870" s="8">
        <f>C870/0.92</f>
        <v>115.65217391304348</v>
      </c>
      <c r="P870" s="6">
        <v>1</v>
      </c>
      <c r="Q870" s="6">
        <v>200</v>
      </c>
      <c r="R870" s="8">
        <f>1.454*C870</f>
        <v>154.7056</v>
      </c>
      <c r="S870" s="9">
        <f>E870*1.454*0.4</f>
        <v>61.88224</v>
      </c>
      <c r="T870" s="9">
        <f>E870*1.454*0.2</f>
        <v>30.94112</v>
      </c>
      <c r="U870" s="9">
        <f>E870*1.454*0.2</f>
        <v>30.94112</v>
      </c>
      <c r="V870" s="9">
        <f>E870*1.454*0.2</f>
        <v>30.94112</v>
      </c>
      <c r="W870" s="9">
        <f>H870*1.454</f>
        <v>0</v>
      </c>
      <c r="X870" s="9">
        <f>K870*1.454</f>
        <v>0</v>
      </c>
      <c r="Y870" s="4">
        <f t="shared" si="132"/>
        <v>61.88224</v>
      </c>
    </row>
    <row r="871" spans="1:24" ht="18.75" outlineLevel="1">
      <c r="A871" s="164">
        <v>1</v>
      </c>
      <c r="B871" s="162" t="s">
        <v>492</v>
      </c>
      <c r="C871" s="162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</row>
    <row r="872" spans="1:24" ht="18" outlineLevel="1">
      <c r="A872" s="164"/>
      <c r="B872" s="6">
        <f>D872+G872+J872</f>
        <v>51</v>
      </c>
      <c r="C872" s="19">
        <f>E872+H872+K872</f>
        <v>127.80600000000001</v>
      </c>
      <c r="D872" s="6">
        <v>51</v>
      </c>
      <c r="E872" s="8">
        <f>D872*FORECAST(D872,AA$12:AA$13,Z$12:Z$13)</f>
        <v>127.80600000000001</v>
      </c>
      <c r="F872" s="6" t="s">
        <v>453</v>
      </c>
      <c r="G872" s="6">
        <v>0</v>
      </c>
      <c r="H872" s="6">
        <v>0</v>
      </c>
      <c r="I872" s="6" t="s">
        <v>441</v>
      </c>
      <c r="J872" s="6">
        <v>0</v>
      </c>
      <c r="K872" s="6">
        <v>0</v>
      </c>
      <c r="L872" s="6" t="s">
        <v>441</v>
      </c>
      <c r="M872" s="6">
        <v>0</v>
      </c>
      <c r="N872" s="6">
        <v>600</v>
      </c>
      <c r="O872" s="8">
        <f>C872/0.92</f>
        <v>138.91956521739132</v>
      </c>
      <c r="P872" s="6">
        <v>1</v>
      </c>
      <c r="Q872" s="6">
        <v>255</v>
      </c>
      <c r="R872" s="8">
        <f>1.454*C872</f>
        <v>185.829924</v>
      </c>
      <c r="S872" s="9">
        <f>E872*1.454*0.4</f>
        <v>74.33196960000001</v>
      </c>
      <c r="T872" s="9">
        <f>E872*1.454*0.2</f>
        <v>37.165984800000004</v>
      </c>
      <c r="U872" s="9">
        <f>E872*1.454*0.2</f>
        <v>37.165984800000004</v>
      </c>
      <c r="V872" s="9">
        <f>E872*1.454*0.2</f>
        <v>37.165984800000004</v>
      </c>
      <c r="W872" s="9">
        <f>H872*1.454</f>
        <v>0</v>
      </c>
      <c r="X872" s="9">
        <f>K872*1.454</f>
        <v>0</v>
      </c>
    </row>
    <row r="873" spans="1:25" ht="40.5" customHeight="1" outlineLevel="1">
      <c r="A873" s="6" t="s">
        <v>437</v>
      </c>
      <c r="B873" s="6">
        <f>B863+B868+B870+B872</f>
        <v>368</v>
      </c>
      <c r="C873" s="19">
        <f aca="true" t="shared" si="141" ref="C873:X873">C863+C868+C870+C872</f>
        <v>879.9480000000001</v>
      </c>
      <c r="D873" s="6">
        <f t="shared" si="141"/>
        <v>368</v>
      </c>
      <c r="E873" s="19">
        <f t="shared" si="141"/>
        <v>879.9480000000001</v>
      </c>
      <c r="F873" s="6" t="s">
        <v>433</v>
      </c>
      <c r="G873" s="6">
        <f t="shared" si="141"/>
        <v>0</v>
      </c>
      <c r="H873" s="6">
        <f t="shared" si="141"/>
        <v>0</v>
      </c>
      <c r="I873" s="6" t="s">
        <v>698</v>
      </c>
      <c r="J873" s="6">
        <f t="shared" si="141"/>
        <v>0</v>
      </c>
      <c r="K873" s="6">
        <f t="shared" si="141"/>
        <v>0</v>
      </c>
      <c r="L873" s="6" t="s">
        <v>698</v>
      </c>
      <c r="M873" s="6">
        <f t="shared" si="141"/>
        <v>0</v>
      </c>
      <c r="N873" s="6">
        <f t="shared" si="141"/>
        <v>10400</v>
      </c>
      <c r="O873" s="19">
        <f t="shared" si="141"/>
        <v>956.4652173913045</v>
      </c>
      <c r="P873" s="6">
        <f t="shared" si="141"/>
        <v>6</v>
      </c>
      <c r="Q873" s="6">
        <f t="shared" si="141"/>
        <v>1840</v>
      </c>
      <c r="R873" s="19">
        <f t="shared" si="141"/>
        <v>1279.4443919999999</v>
      </c>
      <c r="S873" s="19">
        <f t="shared" si="141"/>
        <v>511.7777568</v>
      </c>
      <c r="T873" s="19">
        <f t="shared" si="141"/>
        <v>255.8888784</v>
      </c>
      <c r="U873" s="19">
        <f t="shared" si="141"/>
        <v>255.8888784</v>
      </c>
      <c r="V873" s="19">
        <f t="shared" si="141"/>
        <v>255.8888784</v>
      </c>
      <c r="W873" s="19">
        <f t="shared" si="141"/>
        <v>0</v>
      </c>
      <c r="X873" s="19">
        <f t="shared" si="141"/>
        <v>0</v>
      </c>
      <c r="Y873" s="4">
        <f t="shared" si="132"/>
        <v>511.7777568</v>
      </c>
    </row>
    <row r="874" spans="1:25" ht="12.75" customHeight="1" outlineLevel="1">
      <c r="A874" s="161" t="s">
        <v>432</v>
      </c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4">
        <f t="shared" si="132"/>
        <v>0</v>
      </c>
    </row>
    <row r="875" spans="1:25" ht="15.75" customHeight="1" outlineLevel="1">
      <c r="A875" s="164" t="s">
        <v>438</v>
      </c>
      <c r="B875" s="162" t="s">
        <v>629</v>
      </c>
      <c r="C875" s="162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4">
        <f t="shared" si="132"/>
        <v>0</v>
      </c>
    </row>
    <row r="876" spans="1:25" ht="18" outlineLevel="1">
      <c r="A876" s="164"/>
      <c r="B876" s="6">
        <f>D876+G876+J876</f>
        <v>90</v>
      </c>
      <c r="C876" s="19">
        <f>E876+H876+K876</f>
        <v>199.35</v>
      </c>
      <c r="D876" s="6">
        <v>90</v>
      </c>
      <c r="E876" s="8">
        <f>D876*FORECAST(D876,AA$13:AA$14,Z$13:Z$14)</f>
        <v>199.35</v>
      </c>
      <c r="F876" s="6" t="s">
        <v>453</v>
      </c>
      <c r="G876" s="6">
        <v>0</v>
      </c>
      <c r="H876" s="6">
        <v>0</v>
      </c>
      <c r="I876" s="6" t="s">
        <v>441</v>
      </c>
      <c r="J876" s="6">
        <v>0</v>
      </c>
      <c r="K876" s="6">
        <v>0</v>
      </c>
      <c r="L876" s="6" t="s">
        <v>441</v>
      </c>
      <c r="M876" s="6">
        <v>0</v>
      </c>
      <c r="N876" s="6">
        <v>2500</v>
      </c>
      <c r="O876" s="8">
        <f>C876/0.92</f>
        <v>216.68478260869563</v>
      </c>
      <c r="P876" s="6">
        <v>1</v>
      </c>
      <c r="Q876" s="6">
        <v>450</v>
      </c>
      <c r="R876" s="8">
        <f>1.454*C876</f>
        <v>289.8549</v>
      </c>
      <c r="S876" s="9">
        <f>E876*1.454*0.4</f>
        <v>115.94196</v>
      </c>
      <c r="T876" s="9">
        <f>E876*1.454*0.2</f>
        <v>57.97098</v>
      </c>
      <c r="U876" s="9">
        <f>E876*1.454*0.2</f>
        <v>57.97098</v>
      </c>
      <c r="V876" s="9">
        <f>E876*1.454*0.2</f>
        <v>57.97098</v>
      </c>
      <c r="W876" s="9">
        <f>H876*1.454</f>
        <v>0</v>
      </c>
      <c r="X876" s="9">
        <f>K876*1.454</f>
        <v>0</v>
      </c>
      <c r="Y876" s="4">
        <f t="shared" si="132"/>
        <v>115.94196</v>
      </c>
    </row>
    <row r="877" spans="1:25" ht="12.75" customHeight="1" outlineLevel="1">
      <c r="A877" s="161" t="s">
        <v>439</v>
      </c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4">
        <f t="shared" si="132"/>
        <v>0</v>
      </c>
    </row>
    <row r="878" spans="1:25" ht="15.75" customHeight="1" outlineLevel="1">
      <c r="A878" s="164" t="s">
        <v>456</v>
      </c>
      <c r="B878" s="162" t="s">
        <v>50</v>
      </c>
      <c r="C878" s="162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4">
        <f t="shared" si="132"/>
        <v>0</v>
      </c>
    </row>
    <row r="879" spans="1:25" ht="18" outlineLevel="1">
      <c r="A879" s="164"/>
      <c r="B879" s="6">
        <f>D879+G879+J879</f>
        <v>30</v>
      </c>
      <c r="C879" s="19">
        <f>E879+H879+K879</f>
        <v>92.73749999999998</v>
      </c>
      <c r="D879" s="6">
        <v>30</v>
      </c>
      <c r="E879" s="8">
        <f>D879*FORECAST(D879,AA$11:AA$12,Z$11:Z$12)</f>
        <v>92.73749999999998</v>
      </c>
      <c r="F879" s="6" t="s">
        <v>453</v>
      </c>
      <c r="G879" s="6">
        <v>0</v>
      </c>
      <c r="H879" s="6">
        <v>0</v>
      </c>
      <c r="I879" s="6" t="s">
        <v>441</v>
      </c>
      <c r="J879" s="6">
        <v>0</v>
      </c>
      <c r="K879" s="6">
        <v>0</v>
      </c>
      <c r="L879" s="6" t="s">
        <v>441</v>
      </c>
      <c r="M879" s="6">
        <v>0</v>
      </c>
      <c r="N879" s="6">
        <v>900</v>
      </c>
      <c r="O879" s="8">
        <f>C879/0.92</f>
        <v>100.80163043478258</v>
      </c>
      <c r="P879" s="6">
        <v>1</v>
      </c>
      <c r="Q879" s="6">
        <v>150</v>
      </c>
      <c r="R879" s="8">
        <f>1.454*C879</f>
        <v>134.84032499999998</v>
      </c>
      <c r="S879" s="9">
        <f>E879*1.454*0.4</f>
        <v>53.93612999999999</v>
      </c>
      <c r="T879" s="9">
        <f>E879*1.454*0.2</f>
        <v>26.968064999999996</v>
      </c>
      <c r="U879" s="9">
        <f>E879*1.454*0.2</f>
        <v>26.968064999999996</v>
      </c>
      <c r="V879" s="9">
        <f>E879*1.454*0.2</f>
        <v>26.968064999999996</v>
      </c>
      <c r="W879" s="9">
        <f>H879*1.454</f>
        <v>0</v>
      </c>
      <c r="X879" s="9">
        <f>K879*1.454</f>
        <v>0</v>
      </c>
      <c r="Y879" s="4">
        <f t="shared" si="132"/>
        <v>53.93612999999999</v>
      </c>
    </row>
    <row r="880" spans="1:25" ht="12.75" customHeight="1" outlineLevel="1">
      <c r="A880" s="161" t="s">
        <v>440</v>
      </c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4">
        <f t="shared" si="132"/>
        <v>0</v>
      </c>
    </row>
    <row r="881" spans="1:25" ht="16.5" customHeight="1" outlineLevel="1">
      <c r="A881" s="164" t="s">
        <v>450</v>
      </c>
      <c r="B881" s="162" t="s">
        <v>630</v>
      </c>
      <c r="C881" s="162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4">
        <f t="shared" si="132"/>
        <v>0</v>
      </c>
    </row>
    <row r="882" spans="1:25" ht="18" outlineLevel="1">
      <c r="A882" s="164"/>
      <c r="B882" s="6">
        <f>D882+G882+J882</f>
        <v>35</v>
      </c>
      <c r="C882" s="19">
        <f>E882+H882+K882</f>
        <v>100.646875</v>
      </c>
      <c r="D882" s="6">
        <v>35</v>
      </c>
      <c r="E882" s="8">
        <f>D882*FORECAST(D882,AA$11:AA$12,Z$11:Z$12)</f>
        <v>100.646875</v>
      </c>
      <c r="F882" s="6" t="s">
        <v>453</v>
      </c>
      <c r="G882" s="6">
        <v>0</v>
      </c>
      <c r="H882" s="6">
        <v>0</v>
      </c>
      <c r="I882" s="6" t="s">
        <v>441</v>
      </c>
      <c r="J882" s="6">
        <v>0</v>
      </c>
      <c r="K882" s="6">
        <v>0</v>
      </c>
      <c r="L882" s="6" t="s">
        <v>441</v>
      </c>
      <c r="M882" s="6">
        <v>0</v>
      </c>
      <c r="N882" s="6">
        <v>1200</v>
      </c>
      <c r="O882" s="8">
        <f>C882/0.92</f>
        <v>109.39877717391303</v>
      </c>
      <c r="P882" s="6">
        <v>1</v>
      </c>
      <c r="Q882" s="6">
        <v>175</v>
      </c>
      <c r="R882" s="8">
        <f>1.454*C882</f>
        <v>146.34055625</v>
      </c>
      <c r="S882" s="9">
        <f>E882*1.454*0.4</f>
        <v>58.5362225</v>
      </c>
      <c r="T882" s="9">
        <f>E882*1.454*0.2</f>
        <v>29.26811125</v>
      </c>
      <c r="U882" s="9">
        <f>E882*1.454*0.2</f>
        <v>29.26811125</v>
      </c>
      <c r="V882" s="9">
        <f>E882*1.454*0.2</f>
        <v>29.26811125</v>
      </c>
      <c r="W882" s="9">
        <f>H882*1.454</f>
        <v>0</v>
      </c>
      <c r="X882" s="9">
        <f>K882*1.454</f>
        <v>0</v>
      </c>
      <c r="Y882" s="4">
        <f t="shared" si="132"/>
        <v>58.5362225</v>
      </c>
    </row>
    <row r="883" spans="1:25" ht="108">
      <c r="A883" s="6" t="s">
        <v>732</v>
      </c>
      <c r="B883" s="6">
        <f>B873+B876+B879+B882</f>
        <v>523</v>
      </c>
      <c r="C883" s="19">
        <f>C873+C876+C879+C882</f>
        <v>1272.6823749999999</v>
      </c>
      <c r="D883" s="19">
        <f>D873+D876+D879+D882</f>
        <v>523</v>
      </c>
      <c r="E883" s="19">
        <f aca="true" t="shared" si="142" ref="E883:X883">E873+E876+E879+E882</f>
        <v>1272.6823749999999</v>
      </c>
      <c r="F883" s="19" t="s">
        <v>433</v>
      </c>
      <c r="G883" s="19">
        <f t="shared" si="142"/>
        <v>0</v>
      </c>
      <c r="H883" s="19">
        <f t="shared" si="142"/>
        <v>0</v>
      </c>
      <c r="I883" s="19" t="s">
        <v>698</v>
      </c>
      <c r="J883" s="19">
        <f t="shared" si="142"/>
        <v>0</v>
      </c>
      <c r="K883" s="19">
        <f t="shared" si="142"/>
        <v>0</v>
      </c>
      <c r="L883" s="19" t="s">
        <v>698</v>
      </c>
      <c r="M883" s="19">
        <f t="shared" si="142"/>
        <v>0</v>
      </c>
      <c r="N883" s="19">
        <f t="shared" si="142"/>
        <v>15000</v>
      </c>
      <c r="O883" s="19">
        <f t="shared" si="142"/>
        <v>1383.3504076086956</v>
      </c>
      <c r="P883" s="19">
        <f t="shared" si="142"/>
        <v>9</v>
      </c>
      <c r="Q883" s="19">
        <f t="shared" si="142"/>
        <v>2615</v>
      </c>
      <c r="R883" s="19">
        <f t="shared" si="142"/>
        <v>1850.4801732499998</v>
      </c>
      <c r="S883" s="19">
        <f t="shared" si="142"/>
        <v>740.1920693000001</v>
      </c>
      <c r="T883" s="19">
        <f t="shared" si="142"/>
        <v>370.09603465000004</v>
      </c>
      <c r="U883" s="19">
        <f t="shared" si="142"/>
        <v>370.09603465000004</v>
      </c>
      <c r="V883" s="19">
        <f t="shared" si="142"/>
        <v>370.09603465000004</v>
      </c>
      <c r="W883" s="19">
        <f t="shared" si="142"/>
        <v>0</v>
      </c>
      <c r="X883" s="19">
        <f t="shared" si="142"/>
        <v>0</v>
      </c>
      <c r="Y883" s="4">
        <f t="shared" si="132"/>
        <v>740.1920693000001</v>
      </c>
    </row>
    <row r="884" spans="1:25" ht="18">
      <c r="A884" s="171" t="s">
        <v>454</v>
      </c>
      <c r="B884" s="171"/>
      <c r="C884" s="171"/>
      <c r="D884" s="171"/>
      <c r="E884" s="171"/>
      <c r="F884" s="171"/>
      <c r="G884" s="171"/>
      <c r="H884" s="171"/>
      <c r="I884" s="171"/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4">
        <f t="shared" si="132"/>
        <v>0</v>
      </c>
    </row>
    <row r="885" spans="1:25" ht="18.75" outlineLevel="1">
      <c r="A885" s="13">
        <v>1</v>
      </c>
      <c r="B885" s="13">
        <v>2</v>
      </c>
      <c r="C885" s="13">
        <v>3</v>
      </c>
      <c r="D885" s="13">
        <v>4</v>
      </c>
      <c r="E885" s="13">
        <v>5</v>
      </c>
      <c r="F885" s="13">
        <v>6</v>
      </c>
      <c r="G885" s="13">
        <v>7</v>
      </c>
      <c r="H885" s="13">
        <v>8</v>
      </c>
      <c r="I885" s="13">
        <v>9</v>
      </c>
      <c r="J885" s="13">
        <v>10</v>
      </c>
      <c r="K885" s="13">
        <v>11</v>
      </c>
      <c r="L885" s="13">
        <v>12</v>
      </c>
      <c r="M885" s="13">
        <v>13</v>
      </c>
      <c r="N885" s="13">
        <v>14</v>
      </c>
      <c r="O885" s="13">
        <v>15</v>
      </c>
      <c r="P885" s="13">
        <v>16</v>
      </c>
      <c r="Q885" s="13">
        <v>17</v>
      </c>
      <c r="R885" s="13">
        <v>18</v>
      </c>
      <c r="S885" s="89">
        <v>19</v>
      </c>
      <c r="T885" s="14">
        <v>20</v>
      </c>
      <c r="U885" s="14">
        <v>21</v>
      </c>
      <c r="V885" s="14">
        <v>22</v>
      </c>
      <c r="W885" s="14">
        <v>23</v>
      </c>
      <c r="X885" s="14">
        <v>24</v>
      </c>
      <c r="Y885" s="4">
        <f t="shared" si="132"/>
        <v>42</v>
      </c>
    </row>
    <row r="886" spans="1:25" ht="12.75" customHeight="1" outlineLevel="1">
      <c r="A886" s="161" t="s">
        <v>439</v>
      </c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4">
        <f t="shared" si="132"/>
        <v>0</v>
      </c>
    </row>
    <row r="887" spans="1:25" ht="12.75" customHeight="1" outlineLevel="2">
      <c r="A887" s="160">
        <v>1</v>
      </c>
      <c r="B887" s="162" t="s">
        <v>713</v>
      </c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4">
        <f aca="true" t="shared" si="143" ref="Y887:Y934">U887*2</f>
        <v>0</v>
      </c>
    </row>
    <row r="888" spans="1:25" ht="18" outlineLevel="2">
      <c r="A888" s="160"/>
      <c r="B888" s="15">
        <v>50</v>
      </c>
      <c r="C888" s="15">
        <v>126</v>
      </c>
      <c r="D888" s="15">
        <v>50</v>
      </c>
      <c r="E888" s="8">
        <v>126</v>
      </c>
      <c r="F888" s="15" t="s">
        <v>433</v>
      </c>
      <c r="G888" s="15"/>
      <c r="H888" s="15"/>
      <c r="I888" s="15"/>
      <c r="J888" s="15"/>
      <c r="K888" s="15"/>
      <c r="L888" s="15"/>
      <c r="M888" s="15"/>
      <c r="N888" s="15">
        <v>1100</v>
      </c>
      <c r="O888" s="8">
        <f>C888/0.92</f>
        <v>136.95652173913044</v>
      </c>
      <c r="P888" s="15">
        <v>1</v>
      </c>
      <c r="Q888" s="15">
        <v>250</v>
      </c>
      <c r="R888" s="8">
        <f>1.454*C888</f>
        <v>183.204</v>
      </c>
      <c r="S888" s="9">
        <f>E888*1.454*0.4</f>
        <v>73.28160000000001</v>
      </c>
      <c r="T888" s="9">
        <f>E888*1.454*0.2</f>
        <v>36.640800000000006</v>
      </c>
      <c r="U888" s="9">
        <f>E888*1.454*0.2</f>
        <v>36.640800000000006</v>
      </c>
      <c r="V888" s="9">
        <f>E888*1.454*0.2</f>
        <v>36.640800000000006</v>
      </c>
      <c r="W888" s="9">
        <f>H888*1.454</f>
        <v>0</v>
      </c>
      <c r="X888" s="9">
        <f>K888*1.454</f>
        <v>0</v>
      </c>
      <c r="Y888" s="4">
        <f t="shared" si="143"/>
        <v>73.28160000000001</v>
      </c>
    </row>
    <row r="889" spans="1:25" ht="36" outlineLevel="1">
      <c r="A889" s="6" t="s">
        <v>456</v>
      </c>
      <c r="B889" s="6">
        <f>B888</f>
        <v>50</v>
      </c>
      <c r="C889" s="6">
        <f aca="true" t="shared" si="144" ref="C889:X890">C888</f>
        <v>126</v>
      </c>
      <c r="D889" s="6">
        <f t="shared" si="144"/>
        <v>50</v>
      </c>
      <c r="E889" s="6">
        <f t="shared" si="144"/>
        <v>126</v>
      </c>
      <c r="F889" s="6" t="str">
        <f t="shared" si="144"/>
        <v>ІІІ</v>
      </c>
      <c r="G889" s="6">
        <f t="shared" si="144"/>
        <v>0</v>
      </c>
      <c r="H889" s="6">
        <f t="shared" si="144"/>
        <v>0</v>
      </c>
      <c r="I889" s="6" t="s">
        <v>441</v>
      </c>
      <c r="J889" s="6">
        <f t="shared" si="144"/>
        <v>0</v>
      </c>
      <c r="K889" s="6">
        <f t="shared" si="144"/>
        <v>0</v>
      </c>
      <c r="L889" s="6" t="s">
        <v>441</v>
      </c>
      <c r="M889" s="6">
        <f t="shared" si="144"/>
        <v>0</v>
      </c>
      <c r="N889" s="6">
        <f t="shared" si="144"/>
        <v>1100</v>
      </c>
      <c r="O889" s="19">
        <f t="shared" si="144"/>
        <v>136.95652173913044</v>
      </c>
      <c r="P889" s="6">
        <f t="shared" si="144"/>
        <v>1</v>
      </c>
      <c r="Q889" s="6">
        <f t="shared" si="144"/>
        <v>250</v>
      </c>
      <c r="R889" s="19">
        <f t="shared" si="144"/>
        <v>183.204</v>
      </c>
      <c r="S889" s="19">
        <f t="shared" si="144"/>
        <v>73.28160000000001</v>
      </c>
      <c r="T889" s="19">
        <f t="shared" si="144"/>
        <v>36.640800000000006</v>
      </c>
      <c r="U889" s="19">
        <f t="shared" si="144"/>
        <v>36.640800000000006</v>
      </c>
      <c r="V889" s="19">
        <f t="shared" si="144"/>
        <v>36.640800000000006</v>
      </c>
      <c r="W889" s="6">
        <f t="shared" si="144"/>
        <v>0</v>
      </c>
      <c r="X889" s="6">
        <f t="shared" si="144"/>
        <v>0</v>
      </c>
      <c r="Y889" s="4">
        <f t="shared" si="143"/>
        <v>73.28160000000001</v>
      </c>
    </row>
    <row r="890" spans="1:25" ht="108">
      <c r="A890" s="6" t="s">
        <v>732</v>
      </c>
      <c r="B890" s="6">
        <f>B889</f>
        <v>50</v>
      </c>
      <c r="C890" s="6">
        <f t="shared" si="144"/>
        <v>126</v>
      </c>
      <c r="D890" s="6">
        <f t="shared" si="144"/>
        <v>50</v>
      </c>
      <c r="E890" s="6">
        <f t="shared" si="144"/>
        <v>126</v>
      </c>
      <c r="F890" s="6" t="str">
        <f t="shared" si="144"/>
        <v>ІІІ</v>
      </c>
      <c r="G890" s="6">
        <f t="shared" si="144"/>
        <v>0</v>
      </c>
      <c r="H890" s="6">
        <f t="shared" si="144"/>
        <v>0</v>
      </c>
      <c r="I890" s="6" t="str">
        <f t="shared" si="144"/>
        <v>-</v>
      </c>
      <c r="J890" s="6">
        <f t="shared" si="144"/>
        <v>0</v>
      </c>
      <c r="K890" s="6">
        <f t="shared" si="144"/>
        <v>0</v>
      </c>
      <c r="L890" s="6" t="str">
        <f>L889</f>
        <v>-</v>
      </c>
      <c r="M890" s="6">
        <f t="shared" si="144"/>
        <v>0</v>
      </c>
      <c r="N890" s="6">
        <f t="shared" si="144"/>
        <v>1100</v>
      </c>
      <c r="O890" s="19">
        <f t="shared" si="144"/>
        <v>136.95652173913044</v>
      </c>
      <c r="P890" s="6">
        <f t="shared" si="144"/>
        <v>1</v>
      </c>
      <c r="Q890" s="6">
        <f t="shared" si="144"/>
        <v>250</v>
      </c>
      <c r="R890" s="19">
        <f t="shared" si="144"/>
        <v>183.204</v>
      </c>
      <c r="S890" s="19">
        <f t="shared" si="144"/>
        <v>73.28160000000001</v>
      </c>
      <c r="T890" s="19">
        <f t="shared" si="144"/>
        <v>36.640800000000006</v>
      </c>
      <c r="U890" s="19">
        <f t="shared" si="144"/>
        <v>36.640800000000006</v>
      </c>
      <c r="V890" s="19">
        <f t="shared" si="144"/>
        <v>36.640800000000006</v>
      </c>
      <c r="W890" s="6">
        <f t="shared" si="144"/>
        <v>0</v>
      </c>
      <c r="X890" s="6">
        <f t="shared" si="144"/>
        <v>0</v>
      </c>
      <c r="Y890" s="4">
        <f t="shared" si="143"/>
        <v>73.28160000000001</v>
      </c>
    </row>
    <row r="891" spans="1:25" ht="18">
      <c r="A891" s="171" t="s">
        <v>455</v>
      </c>
      <c r="B891" s="171"/>
      <c r="C891" s="171"/>
      <c r="D891" s="171"/>
      <c r="E891" s="171"/>
      <c r="F891" s="171"/>
      <c r="G891" s="171"/>
      <c r="H891" s="171"/>
      <c r="I891" s="171"/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4">
        <f t="shared" si="143"/>
        <v>0</v>
      </c>
    </row>
    <row r="892" spans="1:25" ht="18.75" outlineLevel="1">
      <c r="A892" s="13">
        <v>1</v>
      </c>
      <c r="B892" s="13">
        <v>2</v>
      </c>
      <c r="C892" s="13">
        <v>3</v>
      </c>
      <c r="D892" s="13">
        <v>4</v>
      </c>
      <c r="E892" s="13">
        <v>5</v>
      </c>
      <c r="F892" s="13">
        <v>6</v>
      </c>
      <c r="G892" s="13">
        <v>7</v>
      </c>
      <c r="H892" s="13">
        <v>8</v>
      </c>
      <c r="I892" s="13">
        <v>9</v>
      </c>
      <c r="J892" s="13">
        <v>10</v>
      </c>
      <c r="K892" s="13">
        <v>11</v>
      </c>
      <c r="L892" s="13">
        <v>12</v>
      </c>
      <c r="M892" s="13">
        <v>13</v>
      </c>
      <c r="N892" s="13">
        <v>14</v>
      </c>
      <c r="O892" s="13">
        <v>15</v>
      </c>
      <c r="P892" s="13">
        <v>16</v>
      </c>
      <c r="Q892" s="13">
        <v>17</v>
      </c>
      <c r="R892" s="13">
        <v>18</v>
      </c>
      <c r="S892" s="89">
        <v>19</v>
      </c>
      <c r="T892" s="14">
        <v>20</v>
      </c>
      <c r="U892" s="14">
        <v>21</v>
      </c>
      <c r="V892" s="14">
        <v>22</v>
      </c>
      <c r="W892" s="14">
        <v>23</v>
      </c>
      <c r="X892" s="14">
        <v>24</v>
      </c>
      <c r="Y892" s="4">
        <f t="shared" si="143"/>
        <v>42</v>
      </c>
    </row>
    <row r="893" spans="1:25" ht="12.75" customHeight="1" outlineLevel="1">
      <c r="A893" s="161" t="s">
        <v>430</v>
      </c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4">
        <f t="shared" si="143"/>
        <v>0</v>
      </c>
    </row>
    <row r="894" spans="1:25" ht="12.75" customHeight="1" outlineLevel="2">
      <c r="A894" s="170">
        <v>1</v>
      </c>
      <c r="B894" s="162" t="s">
        <v>226</v>
      </c>
      <c r="C894" s="162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4">
        <f t="shared" si="143"/>
        <v>0</v>
      </c>
    </row>
    <row r="895" spans="1:25" ht="18" outlineLevel="2">
      <c r="A895" s="170"/>
      <c r="B895" s="5">
        <f>D895+G895+J895</f>
        <v>22</v>
      </c>
      <c r="C895" s="8">
        <f>E895+H895+K895</f>
        <v>77.88</v>
      </c>
      <c r="D895" s="5">
        <v>22</v>
      </c>
      <c r="E895" s="8">
        <f>D895*FORECAST(D895,AA$10:AA$11,Z$10:Z$11)</f>
        <v>77.88</v>
      </c>
      <c r="F895" s="5" t="s">
        <v>433</v>
      </c>
      <c r="G895" s="5"/>
      <c r="H895" s="5"/>
      <c r="I895" s="5"/>
      <c r="J895" s="5"/>
      <c r="K895" s="5"/>
      <c r="L895" s="5"/>
      <c r="M895" s="5"/>
      <c r="N895" s="5">
        <v>520</v>
      </c>
      <c r="O895" s="8">
        <f>C895/0.92</f>
        <v>84.65217391304347</v>
      </c>
      <c r="P895" s="5"/>
      <c r="Q895" s="5"/>
      <c r="R895" s="8">
        <f>1.454*C895</f>
        <v>113.23751999999999</v>
      </c>
      <c r="S895" s="9">
        <f>E895*1.454*0.4</f>
        <v>45.295007999999996</v>
      </c>
      <c r="T895" s="9">
        <f>E895*1.454*0.2</f>
        <v>22.647503999999998</v>
      </c>
      <c r="U895" s="9">
        <f>E895*1.454*0.2</f>
        <v>22.647503999999998</v>
      </c>
      <c r="V895" s="9">
        <f>E895*1.454*0.2</f>
        <v>22.647503999999998</v>
      </c>
      <c r="W895" s="9">
        <f>H895*1.454</f>
        <v>0</v>
      </c>
      <c r="X895" s="9">
        <f>K895*1.454</f>
        <v>0</v>
      </c>
      <c r="Y895" s="4">
        <f t="shared" si="143"/>
        <v>45.295007999999996</v>
      </c>
    </row>
    <row r="896" spans="1:25" ht="12.75" customHeight="1" outlineLevel="2">
      <c r="A896" s="170">
        <v>2</v>
      </c>
      <c r="B896" s="162" t="s">
        <v>227</v>
      </c>
      <c r="C896" s="162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4">
        <f t="shared" si="143"/>
        <v>0</v>
      </c>
    </row>
    <row r="897" spans="1:25" ht="18" outlineLevel="2">
      <c r="A897" s="170"/>
      <c r="B897" s="5">
        <f>D897+G897+J897</f>
        <v>57</v>
      </c>
      <c r="C897" s="8">
        <f>E897+H897+K897</f>
        <v>138.05399999999997</v>
      </c>
      <c r="D897" s="5">
        <v>57</v>
      </c>
      <c r="E897" s="8">
        <f>D897*FORECAST(D897,AA$12:AA$13,Z$12:Z$13)</f>
        <v>138.05399999999997</v>
      </c>
      <c r="F897" s="5" t="s">
        <v>433</v>
      </c>
      <c r="G897" s="5"/>
      <c r="H897" s="5"/>
      <c r="I897" s="5"/>
      <c r="J897" s="5"/>
      <c r="K897" s="5"/>
      <c r="L897" s="5"/>
      <c r="M897" s="5"/>
      <c r="N897" s="5">
        <v>1080</v>
      </c>
      <c r="O897" s="8">
        <f>C897/0.92</f>
        <v>150.05869565217387</v>
      </c>
      <c r="P897" s="5"/>
      <c r="Q897" s="5"/>
      <c r="R897" s="8">
        <f>1.454*C897</f>
        <v>200.73051599999997</v>
      </c>
      <c r="S897" s="9">
        <f>E897*1.454*0.4</f>
        <v>80.2922064</v>
      </c>
      <c r="T897" s="9">
        <f>E897*1.454*0.2</f>
        <v>40.1461032</v>
      </c>
      <c r="U897" s="9">
        <f>E897*1.454*0.2</f>
        <v>40.1461032</v>
      </c>
      <c r="V897" s="9">
        <f>E897*1.454*0.2</f>
        <v>40.1461032</v>
      </c>
      <c r="W897" s="9">
        <f>H897*1.454</f>
        <v>0</v>
      </c>
      <c r="X897" s="9">
        <f>K897*1.454</f>
        <v>0</v>
      </c>
      <c r="Y897" s="4">
        <f t="shared" si="143"/>
        <v>80.2922064</v>
      </c>
    </row>
    <row r="898" spans="1:25" ht="12.75" customHeight="1" outlineLevel="2">
      <c r="A898" s="170">
        <v>3</v>
      </c>
      <c r="B898" s="162" t="s">
        <v>228</v>
      </c>
      <c r="C898" s="162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4">
        <f t="shared" si="143"/>
        <v>0</v>
      </c>
    </row>
    <row r="899" spans="1:25" ht="18" outlineLevel="2">
      <c r="A899" s="170"/>
      <c r="B899" s="5">
        <f>D899+G899+J899</f>
        <v>49</v>
      </c>
      <c r="C899" s="8">
        <f>E899+H899+K899</f>
        <v>124.166</v>
      </c>
      <c r="D899" s="5">
        <v>49</v>
      </c>
      <c r="E899" s="8">
        <f>D899*FORECAST(D899,AA$12:AA$13,Z$12:Z$13)</f>
        <v>124.166</v>
      </c>
      <c r="F899" s="5" t="s">
        <v>433</v>
      </c>
      <c r="G899" s="5"/>
      <c r="H899" s="5"/>
      <c r="I899" s="5"/>
      <c r="J899" s="5"/>
      <c r="K899" s="5"/>
      <c r="L899" s="5"/>
      <c r="M899" s="5">
        <v>100</v>
      </c>
      <c r="N899" s="5">
        <v>1660</v>
      </c>
      <c r="O899" s="8">
        <f>C899/0.92</f>
        <v>134.96304347826086</v>
      </c>
      <c r="P899" s="5">
        <v>1</v>
      </c>
      <c r="Q899" s="5">
        <v>630</v>
      </c>
      <c r="R899" s="8">
        <f>1.454*C899</f>
        <v>180.537364</v>
      </c>
      <c r="S899" s="9">
        <f>E899*1.454*0.4</f>
        <v>72.21494560000001</v>
      </c>
      <c r="T899" s="9">
        <f>E899*1.454*0.2</f>
        <v>36.107472800000004</v>
      </c>
      <c r="U899" s="9">
        <f>E899*1.454*0.2</f>
        <v>36.107472800000004</v>
      </c>
      <c r="V899" s="9">
        <f>E899*1.454*0.2</f>
        <v>36.107472800000004</v>
      </c>
      <c r="W899" s="9">
        <f>H899*1.454</f>
        <v>0</v>
      </c>
      <c r="X899" s="9">
        <f>K899*1.454</f>
        <v>0</v>
      </c>
      <c r="Y899" s="4">
        <f t="shared" si="143"/>
        <v>72.21494560000001</v>
      </c>
    </row>
    <row r="900" spans="1:25" ht="12.75" customHeight="1" outlineLevel="2">
      <c r="A900" s="170">
        <v>4</v>
      </c>
      <c r="B900" s="162" t="s">
        <v>229</v>
      </c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4">
        <f t="shared" si="143"/>
        <v>0</v>
      </c>
    </row>
    <row r="901" spans="1:25" ht="18" outlineLevel="2">
      <c r="A901" s="170"/>
      <c r="B901" s="5">
        <f>D901+G901+J901</f>
        <v>25</v>
      </c>
      <c r="C901" s="8">
        <f>E901+H901+K901</f>
        <v>82.671875</v>
      </c>
      <c r="D901" s="5">
        <v>25</v>
      </c>
      <c r="E901" s="8">
        <f>D901*FORECAST(D901,AA$11:AA$12,Z$11:Z$12)</f>
        <v>82.671875</v>
      </c>
      <c r="F901" s="5" t="s">
        <v>433</v>
      </c>
      <c r="G901" s="5"/>
      <c r="H901" s="5"/>
      <c r="I901" s="5"/>
      <c r="J901" s="5"/>
      <c r="K901" s="5"/>
      <c r="L901" s="5"/>
      <c r="M901" s="5"/>
      <c r="N901" s="5">
        <v>630</v>
      </c>
      <c r="O901" s="8">
        <f>C901/0.92</f>
        <v>89.86073369565217</v>
      </c>
      <c r="P901" s="5"/>
      <c r="Q901" s="5"/>
      <c r="R901" s="8">
        <f>1.454*C901</f>
        <v>120.20490625</v>
      </c>
      <c r="S901" s="9">
        <f>E901*1.454*0.4</f>
        <v>48.0819625</v>
      </c>
      <c r="T901" s="9">
        <f>E901*1.454*0.2</f>
        <v>24.04098125</v>
      </c>
      <c r="U901" s="9">
        <f>E901*1.454*0.2</f>
        <v>24.04098125</v>
      </c>
      <c r="V901" s="9">
        <f>E901*1.454*0.2</f>
        <v>24.04098125</v>
      </c>
      <c r="W901" s="9">
        <f>H901*1.454</f>
        <v>0</v>
      </c>
      <c r="X901" s="9">
        <f>K901*1.454</f>
        <v>0</v>
      </c>
      <c r="Y901" s="4">
        <f t="shared" si="143"/>
        <v>48.0819625</v>
      </c>
    </row>
    <row r="902" spans="1:25" ht="36" outlineLevel="2">
      <c r="A902" s="6" t="s">
        <v>431</v>
      </c>
      <c r="B902" s="6">
        <f>B895+B897+B899+B901</f>
        <v>153</v>
      </c>
      <c r="C902" s="19">
        <f>C895+C897+C899+C901</f>
        <v>422.77187499999997</v>
      </c>
      <c r="D902" s="6">
        <f>D895+D897+D899+D901</f>
        <v>153</v>
      </c>
      <c r="E902" s="19">
        <f>E895+E897+E899+E901</f>
        <v>422.77187499999997</v>
      </c>
      <c r="F902" s="6" t="s">
        <v>433</v>
      </c>
      <c r="G902" s="6">
        <f>G895+G897+G899+G901</f>
        <v>0</v>
      </c>
      <c r="H902" s="6">
        <f>H895+H897+H899+H901</f>
        <v>0</v>
      </c>
      <c r="I902" s="6" t="s">
        <v>441</v>
      </c>
      <c r="J902" s="6">
        <f aca="true" t="shared" si="145" ref="J902:X902">J895+J897+J899+J901</f>
        <v>0</v>
      </c>
      <c r="K902" s="6">
        <f t="shared" si="145"/>
        <v>0</v>
      </c>
      <c r="L902" s="6" t="s">
        <v>441</v>
      </c>
      <c r="M902" s="6">
        <f t="shared" si="145"/>
        <v>100</v>
      </c>
      <c r="N902" s="6">
        <f t="shared" si="145"/>
        <v>3890</v>
      </c>
      <c r="O902" s="6">
        <f t="shared" si="145"/>
        <v>459.5346467391304</v>
      </c>
      <c r="P902" s="6">
        <f t="shared" si="145"/>
        <v>1</v>
      </c>
      <c r="Q902" s="6">
        <f t="shared" si="145"/>
        <v>630</v>
      </c>
      <c r="R902" s="19">
        <f t="shared" si="145"/>
        <v>614.71030625</v>
      </c>
      <c r="S902" s="19">
        <f t="shared" si="145"/>
        <v>245.88412250000002</v>
      </c>
      <c r="T902" s="19">
        <f t="shared" si="145"/>
        <v>122.94206125000001</v>
      </c>
      <c r="U902" s="19">
        <f t="shared" si="145"/>
        <v>122.94206125000001</v>
      </c>
      <c r="V902" s="19">
        <f t="shared" si="145"/>
        <v>122.94206125000001</v>
      </c>
      <c r="W902" s="19">
        <f t="shared" si="145"/>
        <v>0</v>
      </c>
      <c r="X902" s="19">
        <f t="shared" si="145"/>
        <v>0</v>
      </c>
      <c r="Y902" s="4">
        <f t="shared" si="143"/>
        <v>245.88412250000002</v>
      </c>
    </row>
    <row r="903" spans="1:25" ht="12.75" customHeight="1" outlineLevel="2">
      <c r="A903" s="170">
        <v>1</v>
      </c>
      <c r="B903" s="162" t="s">
        <v>230</v>
      </c>
      <c r="C903" s="162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4">
        <f t="shared" si="143"/>
        <v>0</v>
      </c>
    </row>
    <row r="904" spans="1:25" ht="18" outlineLevel="2">
      <c r="A904" s="170"/>
      <c r="B904" s="5">
        <f>D904+G904+J904</f>
        <v>50</v>
      </c>
      <c r="C904" s="5">
        <f>E904+H904+K904</f>
        <v>126</v>
      </c>
      <c r="D904" s="5">
        <v>50</v>
      </c>
      <c r="E904" s="8">
        <f>D904*FORECAST(D904,AA$12:AA$13,Z$12:Z$13)</f>
        <v>126</v>
      </c>
      <c r="F904" s="5" t="s">
        <v>433</v>
      </c>
      <c r="G904" s="5"/>
      <c r="H904" s="5"/>
      <c r="I904" s="5"/>
      <c r="J904" s="5"/>
      <c r="K904" s="5"/>
      <c r="L904" s="5"/>
      <c r="M904" s="5">
        <v>1050</v>
      </c>
      <c r="N904" s="5">
        <v>360</v>
      </c>
      <c r="O904" s="8">
        <f>C904/0.92</f>
        <v>136.95652173913044</v>
      </c>
      <c r="P904" s="5">
        <v>1</v>
      </c>
      <c r="Q904" s="5">
        <v>160</v>
      </c>
      <c r="R904" s="8">
        <f>1.454*C904</f>
        <v>183.204</v>
      </c>
      <c r="S904" s="9">
        <f>E904*1.454*0.4</f>
        <v>73.28160000000001</v>
      </c>
      <c r="T904" s="9">
        <f>E904*1.454*0.2</f>
        <v>36.640800000000006</v>
      </c>
      <c r="U904" s="9">
        <f>E904*1.454*0.2</f>
        <v>36.640800000000006</v>
      </c>
      <c r="V904" s="9">
        <f>E904*1.454*0.2</f>
        <v>36.640800000000006</v>
      </c>
      <c r="W904" s="9">
        <f>H904*1.454</f>
        <v>0</v>
      </c>
      <c r="X904" s="9">
        <f>K904*1.454</f>
        <v>0</v>
      </c>
      <c r="Y904" s="4">
        <f t="shared" si="143"/>
        <v>73.28160000000001</v>
      </c>
    </row>
    <row r="905" spans="1:25" ht="12.75" customHeight="1" outlineLevel="2">
      <c r="A905" s="170">
        <v>1</v>
      </c>
      <c r="B905" s="162" t="s">
        <v>82</v>
      </c>
      <c r="C905" s="162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4">
        <f t="shared" si="143"/>
        <v>0</v>
      </c>
    </row>
    <row r="906" spans="1:25" ht="18" outlineLevel="2">
      <c r="A906" s="170"/>
      <c r="B906" s="5">
        <f>D906+G906+J906</f>
        <v>39</v>
      </c>
      <c r="C906" s="8">
        <f>E906+H906+K906</f>
        <v>105.421875</v>
      </c>
      <c r="D906" s="5">
        <v>39</v>
      </c>
      <c r="E906" s="8">
        <f>D906*FORECAST(D906,AA$11:AA$12,Z$11:Z$12)</f>
        <v>105.421875</v>
      </c>
      <c r="F906" s="5" t="s">
        <v>433</v>
      </c>
      <c r="G906" s="5"/>
      <c r="H906" s="5"/>
      <c r="I906" s="5"/>
      <c r="J906" s="5"/>
      <c r="K906" s="5"/>
      <c r="L906" s="5"/>
      <c r="M906" s="5">
        <v>100</v>
      </c>
      <c r="N906" s="5">
        <v>900</v>
      </c>
      <c r="O906" s="8">
        <f>C906/0.92</f>
        <v>114.58899456521739</v>
      </c>
      <c r="P906" s="5">
        <v>1</v>
      </c>
      <c r="Q906" s="5">
        <v>160</v>
      </c>
      <c r="R906" s="8">
        <f>1.454*C906</f>
        <v>153.28340624999998</v>
      </c>
      <c r="S906" s="9">
        <f>E906*1.454*0.4</f>
        <v>61.3133625</v>
      </c>
      <c r="T906" s="9">
        <f>E906*1.454*0.2</f>
        <v>30.65668125</v>
      </c>
      <c r="U906" s="9">
        <f>E906*1.454*0.2</f>
        <v>30.65668125</v>
      </c>
      <c r="V906" s="9">
        <f>E906*1.454*0.2</f>
        <v>30.65668125</v>
      </c>
      <c r="W906" s="9">
        <f>H906*1.454</f>
        <v>0</v>
      </c>
      <c r="X906" s="9">
        <f>K906*1.454</f>
        <v>0</v>
      </c>
      <c r="Y906" s="4">
        <f t="shared" si="143"/>
        <v>61.3133625</v>
      </c>
    </row>
    <row r="907" spans="1:25" ht="12.75" customHeight="1" outlineLevel="2">
      <c r="A907" s="170">
        <v>2</v>
      </c>
      <c r="B907" s="162" t="s">
        <v>631</v>
      </c>
      <c r="C907" s="162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4">
        <f t="shared" si="143"/>
        <v>0</v>
      </c>
    </row>
    <row r="908" spans="1:25" ht="18" outlineLevel="2">
      <c r="A908" s="170"/>
      <c r="B908" s="5">
        <f>D908+G908+J908</f>
        <v>25</v>
      </c>
      <c r="C908" s="8">
        <f>E908+H908+K908</f>
        <v>82.671875</v>
      </c>
      <c r="D908" s="5">
        <v>25</v>
      </c>
      <c r="E908" s="8">
        <f>D908*FORECAST(D908,AA$11:AA$12,Z$11:Z$12)</f>
        <v>82.671875</v>
      </c>
      <c r="F908" s="5" t="s">
        <v>433</v>
      </c>
      <c r="G908" s="5"/>
      <c r="H908" s="5"/>
      <c r="I908" s="5"/>
      <c r="J908" s="5"/>
      <c r="K908" s="5"/>
      <c r="L908" s="5"/>
      <c r="M908" s="5"/>
      <c r="N908" s="5">
        <v>500</v>
      </c>
      <c r="O908" s="8">
        <f>C908/0.92</f>
        <v>89.86073369565217</v>
      </c>
      <c r="P908" s="5"/>
      <c r="Q908" s="5"/>
      <c r="R908" s="8">
        <f>1.454*C908</f>
        <v>120.20490625</v>
      </c>
      <c r="S908" s="9">
        <f>E908*1.454*0.4</f>
        <v>48.0819625</v>
      </c>
      <c r="T908" s="9">
        <f>E908*1.454*0.2</f>
        <v>24.04098125</v>
      </c>
      <c r="U908" s="9">
        <f>E908*1.454*0.2</f>
        <v>24.04098125</v>
      </c>
      <c r="V908" s="9">
        <f>E908*1.454*0.2</f>
        <v>24.04098125</v>
      </c>
      <c r="W908" s="9">
        <f>H908*1.454</f>
        <v>0</v>
      </c>
      <c r="X908" s="9">
        <f>K908*1.454</f>
        <v>0</v>
      </c>
      <c r="Y908" s="4">
        <f t="shared" si="143"/>
        <v>48.0819625</v>
      </c>
    </row>
    <row r="909" spans="1:25" ht="12.75" customHeight="1" outlineLevel="2">
      <c r="A909" s="170">
        <v>3</v>
      </c>
      <c r="B909" s="162" t="s">
        <v>231</v>
      </c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4">
        <f t="shared" si="143"/>
        <v>0</v>
      </c>
    </row>
    <row r="910" spans="1:25" ht="18" outlineLevel="2">
      <c r="A910" s="170"/>
      <c r="B910" s="5">
        <f>D910+G910+J910</f>
        <v>35</v>
      </c>
      <c r="C910" s="8">
        <f>E910+H910+K910</f>
        <v>100.646875</v>
      </c>
      <c r="D910" s="5">
        <v>35</v>
      </c>
      <c r="E910" s="8">
        <f>D910*FORECAST(D910,AA$11:AA$12,Z$11:Z$12)</f>
        <v>100.646875</v>
      </c>
      <c r="F910" s="5" t="s">
        <v>433</v>
      </c>
      <c r="G910" s="5"/>
      <c r="H910" s="5"/>
      <c r="I910" s="5"/>
      <c r="J910" s="5"/>
      <c r="K910" s="5"/>
      <c r="L910" s="5"/>
      <c r="M910" s="5">
        <v>150</v>
      </c>
      <c r="N910" s="5">
        <v>950</v>
      </c>
      <c r="O910" s="8">
        <f>C910/0.92</f>
        <v>109.39877717391303</v>
      </c>
      <c r="P910" s="5">
        <v>1</v>
      </c>
      <c r="Q910" s="5">
        <v>250</v>
      </c>
      <c r="R910" s="8">
        <f>1.454*C910</f>
        <v>146.34055625</v>
      </c>
      <c r="S910" s="9">
        <f>E910*1.454*0.4</f>
        <v>58.5362225</v>
      </c>
      <c r="T910" s="9">
        <f>E910*1.454*0.2</f>
        <v>29.26811125</v>
      </c>
      <c r="U910" s="9">
        <f>E910*1.454*0.2</f>
        <v>29.26811125</v>
      </c>
      <c r="V910" s="9">
        <f>E910*1.454*0.2</f>
        <v>29.26811125</v>
      </c>
      <c r="W910" s="9">
        <f>H910*1.454</f>
        <v>0</v>
      </c>
      <c r="X910" s="9">
        <f>K910*1.454</f>
        <v>0</v>
      </c>
      <c r="Y910" s="4">
        <f t="shared" si="143"/>
        <v>58.5362225</v>
      </c>
    </row>
    <row r="911" spans="1:25" ht="12.75" customHeight="1" outlineLevel="2">
      <c r="A911" s="170">
        <v>4</v>
      </c>
      <c r="B911" s="162" t="s">
        <v>232</v>
      </c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4">
        <f t="shared" si="143"/>
        <v>0</v>
      </c>
    </row>
    <row r="912" spans="1:25" ht="18" outlineLevel="2">
      <c r="A912" s="170"/>
      <c r="B912" s="5">
        <f>D912+G912+J912</f>
        <v>21</v>
      </c>
      <c r="C912" s="8">
        <f>E912+H912+K912</f>
        <v>76.335</v>
      </c>
      <c r="D912" s="5">
        <v>21</v>
      </c>
      <c r="E912" s="8">
        <f>D912*FORECAST(D912,AA$10:AA$11,Z$10:Z$11)</f>
        <v>76.335</v>
      </c>
      <c r="F912" s="5" t="s">
        <v>433</v>
      </c>
      <c r="G912" s="5"/>
      <c r="H912" s="5"/>
      <c r="I912" s="5"/>
      <c r="J912" s="5"/>
      <c r="K912" s="5"/>
      <c r="L912" s="5"/>
      <c r="M912" s="5"/>
      <c r="N912" s="5">
        <v>500</v>
      </c>
      <c r="O912" s="8">
        <f>C912/0.92</f>
        <v>82.97282608695652</v>
      </c>
      <c r="P912" s="5"/>
      <c r="Q912" s="5"/>
      <c r="R912" s="8">
        <f>1.454*C912</f>
        <v>110.99108999999999</v>
      </c>
      <c r="S912" s="9">
        <f>E912*1.454*0.4</f>
        <v>44.396435999999994</v>
      </c>
      <c r="T912" s="9">
        <f>E912*1.454*0.2</f>
        <v>22.198217999999997</v>
      </c>
      <c r="U912" s="9">
        <f>E912*1.454*0.2</f>
        <v>22.198217999999997</v>
      </c>
      <c r="V912" s="9">
        <f>E912*1.454*0.2</f>
        <v>22.198217999999997</v>
      </c>
      <c r="W912" s="9">
        <f>H912*1.454</f>
        <v>0</v>
      </c>
      <c r="X912" s="9">
        <f>K912*1.454</f>
        <v>0</v>
      </c>
      <c r="Y912" s="4">
        <f t="shared" si="143"/>
        <v>44.396435999999994</v>
      </c>
    </row>
    <row r="913" spans="1:25" ht="36" outlineLevel="2">
      <c r="A913" s="6" t="s">
        <v>431</v>
      </c>
      <c r="B913" s="7">
        <f>B906+B908+B910+B912</f>
        <v>120</v>
      </c>
      <c r="C913" s="10">
        <f>C906+C908+C910+C912</f>
        <v>365.075625</v>
      </c>
      <c r="D913" s="7">
        <f>D906+D908+D910+D912</f>
        <v>120</v>
      </c>
      <c r="E913" s="10">
        <f>E906+E908+E910+E912</f>
        <v>365.075625</v>
      </c>
      <c r="F913" s="7" t="s">
        <v>433</v>
      </c>
      <c r="G913" s="7">
        <f>G906+G908+G910+G912</f>
        <v>0</v>
      </c>
      <c r="H913" s="7">
        <f>H906+H908+H910+H912</f>
        <v>0</v>
      </c>
      <c r="I913" s="7" t="s">
        <v>441</v>
      </c>
      <c r="J913" s="7">
        <f aca="true" t="shared" si="146" ref="J913:X913">J906+J908+J910+J912</f>
        <v>0</v>
      </c>
      <c r="K913" s="7">
        <f t="shared" si="146"/>
        <v>0</v>
      </c>
      <c r="L913" s="7" t="s">
        <v>441</v>
      </c>
      <c r="M913" s="7">
        <f t="shared" si="146"/>
        <v>250</v>
      </c>
      <c r="N913" s="7">
        <f t="shared" si="146"/>
        <v>2850</v>
      </c>
      <c r="O913" s="10">
        <f t="shared" si="146"/>
        <v>396.8213315217391</v>
      </c>
      <c r="P913" s="7">
        <f t="shared" si="146"/>
        <v>2</v>
      </c>
      <c r="Q913" s="7">
        <f t="shared" si="146"/>
        <v>410</v>
      </c>
      <c r="R913" s="10">
        <f t="shared" si="146"/>
        <v>530.81995875</v>
      </c>
      <c r="S913" s="10">
        <f t="shared" si="146"/>
        <v>212.3279835</v>
      </c>
      <c r="T913" s="10">
        <f t="shared" si="146"/>
        <v>106.16399175</v>
      </c>
      <c r="U913" s="10">
        <f t="shared" si="146"/>
        <v>106.16399175</v>
      </c>
      <c r="V913" s="10">
        <f t="shared" si="146"/>
        <v>106.16399175</v>
      </c>
      <c r="W913" s="10">
        <f t="shared" si="146"/>
        <v>0</v>
      </c>
      <c r="X913" s="10">
        <f t="shared" si="146"/>
        <v>0</v>
      </c>
      <c r="Y913" s="4">
        <f t="shared" si="143"/>
        <v>212.3279835</v>
      </c>
    </row>
    <row r="914" spans="1:25" ht="12.75" customHeight="1" outlineLevel="2">
      <c r="A914" s="170">
        <v>1</v>
      </c>
      <c r="B914" s="162" t="s">
        <v>675</v>
      </c>
      <c r="C914" s="162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4">
        <f t="shared" si="143"/>
        <v>0</v>
      </c>
    </row>
    <row r="915" spans="1:25" ht="18" outlineLevel="2">
      <c r="A915" s="170"/>
      <c r="B915" s="5">
        <f>D915+G915+J915</f>
        <v>40</v>
      </c>
      <c r="C915" s="5">
        <f>E915+H915+K915</f>
        <v>106.4</v>
      </c>
      <c r="D915" s="5">
        <v>40</v>
      </c>
      <c r="E915" s="8">
        <f>D915*FORECAST(D915,AA$11:AA$12,Z$11:Z$12)</f>
        <v>106.4</v>
      </c>
      <c r="F915" s="5" t="s">
        <v>433</v>
      </c>
      <c r="G915" s="5"/>
      <c r="H915" s="5"/>
      <c r="I915" s="5"/>
      <c r="J915" s="5"/>
      <c r="K915" s="5"/>
      <c r="L915" s="5"/>
      <c r="M915" s="5"/>
      <c r="N915" s="5">
        <v>600</v>
      </c>
      <c r="O915" s="8">
        <f>C915/0.92</f>
        <v>115.65217391304348</v>
      </c>
      <c r="P915" s="5"/>
      <c r="Q915" s="5"/>
      <c r="R915" s="8">
        <f>1.454*C915</f>
        <v>154.7056</v>
      </c>
      <c r="S915" s="9">
        <f>E915*1.454*0.4</f>
        <v>61.88224</v>
      </c>
      <c r="T915" s="9">
        <f>E915*1.454*0.2</f>
        <v>30.94112</v>
      </c>
      <c r="U915" s="9">
        <f>E915*1.454*0.2</f>
        <v>30.94112</v>
      </c>
      <c r="V915" s="9">
        <f>E915*1.454*0.2</f>
        <v>30.94112</v>
      </c>
      <c r="W915" s="9">
        <f>H915*1.454</f>
        <v>0</v>
      </c>
      <c r="X915" s="9">
        <f>K915*1.454</f>
        <v>0</v>
      </c>
      <c r="Y915" s="4">
        <f t="shared" si="143"/>
        <v>61.88224</v>
      </c>
    </row>
    <row r="916" spans="1:25" ht="12.75" customHeight="1" outlineLevel="2">
      <c r="A916" s="170">
        <v>1</v>
      </c>
      <c r="B916" s="162" t="s">
        <v>97</v>
      </c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4">
        <f t="shared" si="143"/>
        <v>0</v>
      </c>
    </row>
    <row r="917" spans="1:25" ht="18" outlineLevel="2">
      <c r="A917" s="170"/>
      <c r="B917" s="5">
        <f>D917+G917+J917</f>
        <v>22</v>
      </c>
      <c r="C917" s="8">
        <f>E917+H917+K917</f>
        <v>77.88</v>
      </c>
      <c r="D917" s="5">
        <v>22</v>
      </c>
      <c r="E917" s="8">
        <f>D917*FORECAST(D917,AA$10:AA$11,Z$10:Z$11)</f>
        <v>77.88</v>
      </c>
      <c r="F917" s="5" t="s">
        <v>433</v>
      </c>
      <c r="G917" s="5"/>
      <c r="H917" s="5"/>
      <c r="I917" s="5"/>
      <c r="J917" s="5"/>
      <c r="K917" s="5"/>
      <c r="L917" s="5"/>
      <c r="M917" s="5"/>
      <c r="N917" s="5">
        <v>330</v>
      </c>
      <c r="O917" s="8">
        <f>C917/0.92</f>
        <v>84.65217391304347</v>
      </c>
      <c r="P917" s="5"/>
      <c r="Q917" s="5"/>
      <c r="R917" s="8">
        <f>1.454*C917</f>
        <v>113.23751999999999</v>
      </c>
      <c r="S917" s="9">
        <f>E917*1.454*0.4</f>
        <v>45.295007999999996</v>
      </c>
      <c r="T917" s="9">
        <f>E917*1.454*0.2</f>
        <v>22.647503999999998</v>
      </c>
      <c r="U917" s="9">
        <f>E917*1.454*0.2</f>
        <v>22.647503999999998</v>
      </c>
      <c r="V917" s="9">
        <f>E917*1.454*0.2</f>
        <v>22.647503999999998</v>
      </c>
      <c r="W917" s="9">
        <f>H917*1.454</f>
        <v>0</v>
      </c>
      <c r="X917" s="9">
        <f>K917*1.454</f>
        <v>0</v>
      </c>
      <c r="Y917" s="4">
        <f t="shared" si="143"/>
        <v>45.295007999999996</v>
      </c>
    </row>
    <row r="918" spans="1:25" ht="12.75" customHeight="1" outlineLevel="2">
      <c r="A918" s="170">
        <v>1</v>
      </c>
      <c r="B918" s="162" t="s">
        <v>233</v>
      </c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4">
        <f t="shared" si="143"/>
        <v>0</v>
      </c>
    </row>
    <row r="919" spans="1:25" ht="18" outlineLevel="2">
      <c r="A919" s="170"/>
      <c r="B919" s="5">
        <f>D919+G919+J919</f>
        <v>30</v>
      </c>
      <c r="C919" s="8">
        <f>E919+H919+K919</f>
        <v>92.73749999999998</v>
      </c>
      <c r="D919" s="5">
        <v>30</v>
      </c>
      <c r="E919" s="8">
        <f>D919*FORECAST(D919,AA$11:AA$12,Z$11:Z$12)</f>
        <v>92.73749999999998</v>
      </c>
      <c r="F919" s="5" t="s">
        <v>433</v>
      </c>
      <c r="G919" s="5"/>
      <c r="H919" s="5"/>
      <c r="I919" s="5"/>
      <c r="J919" s="5"/>
      <c r="K919" s="5"/>
      <c r="L919" s="5"/>
      <c r="M919" s="5">
        <v>100</v>
      </c>
      <c r="N919" s="5">
        <v>450</v>
      </c>
      <c r="O919" s="8">
        <f>C919/0.92</f>
        <v>100.80163043478258</v>
      </c>
      <c r="P919" s="5">
        <v>1</v>
      </c>
      <c r="Q919" s="5">
        <v>100</v>
      </c>
      <c r="R919" s="8">
        <f>1.454*C919</f>
        <v>134.84032499999998</v>
      </c>
      <c r="S919" s="9">
        <f>E919*1.454*0.4</f>
        <v>53.93612999999999</v>
      </c>
      <c r="T919" s="9">
        <f>E919*1.454*0.2</f>
        <v>26.968064999999996</v>
      </c>
      <c r="U919" s="9">
        <f>E919*1.454*0.2</f>
        <v>26.968064999999996</v>
      </c>
      <c r="V919" s="9">
        <f>E919*1.454*0.2</f>
        <v>26.968064999999996</v>
      </c>
      <c r="W919" s="9">
        <f>H919*1.454</f>
        <v>0</v>
      </c>
      <c r="X919" s="9">
        <f>K919*1.454</f>
        <v>0</v>
      </c>
      <c r="Y919" s="4">
        <f t="shared" si="143"/>
        <v>53.93612999999999</v>
      </c>
    </row>
    <row r="920" spans="1:25" ht="12.75" customHeight="1" outlineLevel="2">
      <c r="A920" s="170">
        <v>1</v>
      </c>
      <c r="B920" s="162" t="s">
        <v>234</v>
      </c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4">
        <f t="shared" si="143"/>
        <v>0</v>
      </c>
    </row>
    <row r="921" spans="1:25" ht="18" outlineLevel="2">
      <c r="A921" s="170"/>
      <c r="B921" s="5">
        <f>D921+G921+J921</f>
        <v>80</v>
      </c>
      <c r="C921" s="5">
        <f>E921+H921+K921</f>
        <v>181.6</v>
      </c>
      <c r="D921" s="5">
        <v>80</v>
      </c>
      <c r="E921" s="8">
        <f>D921*FORECAST(D921,AA$13:AA$14,Z$13:Z$14)</f>
        <v>181.6</v>
      </c>
      <c r="F921" s="5" t="s">
        <v>433</v>
      </c>
      <c r="G921" s="5"/>
      <c r="H921" s="5"/>
      <c r="I921" s="5"/>
      <c r="J921" s="5"/>
      <c r="K921" s="5"/>
      <c r="L921" s="5"/>
      <c r="M921" s="5"/>
      <c r="N921" s="5">
        <v>1000</v>
      </c>
      <c r="O921" s="8">
        <f>C921/0.92</f>
        <v>197.39130434782606</v>
      </c>
      <c r="P921" s="5">
        <v>1</v>
      </c>
      <c r="Q921" s="5">
        <v>630</v>
      </c>
      <c r="R921" s="8">
        <f>1.454*C921</f>
        <v>264.0464</v>
      </c>
      <c r="S921" s="9">
        <f>E921*1.454*0.4</f>
        <v>105.61856</v>
      </c>
      <c r="T921" s="9">
        <f>E921*1.454*0.2</f>
        <v>52.80928</v>
      </c>
      <c r="U921" s="9">
        <f>E921*1.454*0.2</f>
        <v>52.80928</v>
      </c>
      <c r="V921" s="9">
        <f>E921*1.454*0.2</f>
        <v>52.80928</v>
      </c>
      <c r="W921" s="9">
        <f>H921*1.454</f>
        <v>0</v>
      </c>
      <c r="X921" s="9">
        <f>K921*1.454</f>
        <v>0</v>
      </c>
      <c r="Y921" s="4">
        <f t="shared" si="143"/>
        <v>105.61856</v>
      </c>
    </row>
    <row r="922" spans="1:25" ht="12.75" customHeight="1" outlineLevel="2">
      <c r="A922" s="170">
        <v>2</v>
      </c>
      <c r="B922" s="162" t="s">
        <v>235</v>
      </c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4">
        <f t="shared" si="143"/>
        <v>0</v>
      </c>
    </row>
    <row r="923" spans="1:25" ht="18" outlineLevel="2">
      <c r="A923" s="170"/>
      <c r="B923" s="5">
        <f>D923+G923+J923</f>
        <v>76</v>
      </c>
      <c r="C923" s="8">
        <f>E923+H923+K923</f>
        <v>174.19199999999998</v>
      </c>
      <c r="D923" s="5">
        <v>76</v>
      </c>
      <c r="E923" s="8">
        <f>D923*FORECAST(D923,AA$13:AA$14,Z$13:Z$14)</f>
        <v>174.19199999999998</v>
      </c>
      <c r="F923" s="5" t="s">
        <v>433</v>
      </c>
      <c r="G923" s="5"/>
      <c r="H923" s="5"/>
      <c r="I923" s="5"/>
      <c r="J923" s="5"/>
      <c r="K923" s="5"/>
      <c r="L923" s="5"/>
      <c r="M923" s="5">
        <v>100</v>
      </c>
      <c r="N923" s="5">
        <v>1000</v>
      </c>
      <c r="O923" s="8">
        <f>C923/0.92</f>
        <v>189.3391304347826</v>
      </c>
      <c r="P923" s="5">
        <v>2</v>
      </c>
      <c r="Q923" s="5">
        <v>400</v>
      </c>
      <c r="R923" s="8">
        <f>1.454*C923</f>
        <v>253.27516799999995</v>
      </c>
      <c r="S923" s="9">
        <f>E923*1.454*0.4</f>
        <v>101.31006719999999</v>
      </c>
      <c r="T923" s="9">
        <f>E923*1.454*0.2</f>
        <v>50.655033599999996</v>
      </c>
      <c r="U923" s="9">
        <f>E923*1.454*0.2</f>
        <v>50.655033599999996</v>
      </c>
      <c r="V923" s="9">
        <f>E923*1.454*0.2</f>
        <v>50.655033599999996</v>
      </c>
      <c r="W923" s="9">
        <f>H923*1.454</f>
        <v>0</v>
      </c>
      <c r="X923" s="9">
        <f>K923*1.454</f>
        <v>0</v>
      </c>
      <c r="Y923" s="4">
        <f t="shared" si="143"/>
        <v>101.31006719999999</v>
      </c>
    </row>
    <row r="924" spans="1:25" ht="36" outlineLevel="2">
      <c r="A924" s="6" t="s">
        <v>431</v>
      </c>
      <c r="B924" s="7">
        <f>B921+B923</f>
        <v>156</v>
      </c>
      <c r="C924" s="10">
        <f>C921+C923</f>
        <v>355.792</v>
      </c>
      <c r="D924" s="7">
        <f>D921+D923</f>
        <v>156</v>
      </c>
      <c r="E924" s="10">
        <f>E921+E923</f>
        <v>355.792</v>
      </c>
      <c r="F924" s="7" t="s">
        <v>433</v>
      </c>
      <c r="G924" s="7">
        <f>G921+G923</f>
        <v>0</v>
      </c>
      <c r="H924" s="7">
        <f>H921+H923</f>
        <v>0</v>
      </c>
      <c r="I924" s="7" t="s">
        <v>441</v>
      </c>
      <c r="J924" s="7">
        <f>J921+J923</f>
        <v>0</v>
      </c>
      <c r="K924" s="7">
        <f>K921+K923</f>
        <v>0</v>
      </c>
      <c r="L924" s="7" t="s">
        <v>441</v>
      </c>
      <c r="M924" s="7">
        <f aca="true" t="shared" si="147" ref="M924:X924">M921+M923</f>
        <v>100</v>
      </c>
      <c r="N924" s="7">
        <f t="shared" si="147"/>
        <v>2000</v>
      </c>
      <c r="O924" s="10">
        <f t="shared" si="147"/>
        <v>386.73043478260865</v>
      </c>
      <c r="P924" s="7">
        <f t="shared" si="147"/>
        <v>3</v>
      </c>
      <c r="Q924" s="7">
        <f t="shared" si="147"/>
        <v>1030</v>
      </c>
      <c r="R924" s="10">
        <f t="shared" si="147"/>
        <v>517.321568</v>
      </c>
      <c r="S924" s="10">
        <f t="shared" si="147"/>
        <v>206.9286272</v>
      </c>
      <c r="T924" s="10">
        <f t="shared" si="147"/>
        <v>103.4643136</v>
      </c>
      <c r="U924" s="10">
        <f t="shared" si="147"/>
        <v>103.4643136</v>
      </c>
      <c r="V924" s="10">
        <f t="shared" si="147"/>
        <v>103.4643136</v>
      </c>
      <c r="W924" s="10">
        <f t="shared" si="147"/>
        <v>0</v>
      </c>
      <c r="X924" s="10">
        <f t="shared" si="147"/>
        <v>0</v>
      </c>
      <c r="Y924" s="4">
        <f t="shared" si="143"/>
        <v>206.9286272</v>
      </c>
    </row>
    <row r="925" spans="1:25" ht="12.75" customHeight="1" outlineLevel="2">
      <c r="A925" s="170">
        <v>1</v>
      </c>
      <c r="B925" s="162" t="s">
        <v>236</v>
      </c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4">
        <f t="shared" si="143"/>
        <v>0</v>
      </c>
    </row>
    <row r="926" spans="1:25" ht="18" outlineLevel="2">
      <c r="A926" s="170"/>
      <c r="B926" s="5">
        <f>D926+G926+J926</f>
        <v>8</v>
      </c>
      <c r="C926" s="8">
        <f>E926+H926+K926</f>
        <v>49.81333333333332</v>
      </c>
      <c r="D926" s="5">
        <v>8</v>
      </c>
      <c r="E926" s="8">
        <f>D926*FORECAST(D926,AA$6:AA$7,Z$6:Z$7)</f>
        <v>49.81333333333332</v>
      </c>
      <c r="F926" s="5" t="s">
        <v>433</v>
      </c>
      <c r="G926" s="5"/>
      <c r="H926" s="5"/>
      <c r="I926" s="5"/>
      <c r="J926" s="5"/>
      <c r="K926" s="5"/>
      <c r="L926" s="5"/>
      <c r="M926" s="5"/>
      <c r="N926" s="5">
        <v>400</v>
      </c>
      <c r="O926" s="8">
        <f>C926/0.92</f>
        <v>54.14492753623187</v>
      </c>
      <c r="P926" s="5"/>
      <c r="Q926" s="5"/>
      <c r="R926" s="8">
        <f>1.454*C926</f>
        <v>72.42858666666665</v>
      </c>
      <c r="S926" s="9">
        <f>E926*1.454*0.4</f>
        <v>28.97143466666666</v>
      </c>
      <c r="T926" s="9">
        <f>E926*1.454*0.2</f>
        <v>14.48571733333333</v>
      </c>
      <c r="U926" s="9">
        <f>E926*1.454*0.2</f>
        <v>14.48571733333333</v>
      </c>
      <c r="V926" s="9">
        <f>E926*1.454*0.2</f>
        <v>14.48571733333333</v>
      </c>
      <c r="W926" s="9">
        <f>H926*1.454</f>
        <v>0</v>
      </c>
      <c r="X926" s="9">
        <f>K926*1.454</f>
        <v>0</v>
      </c>
      <c r="Y926" s="4">
        <f t="shared" si="143"/>
        <v>28.97143466666666</v>
      </c>
    </row>
    <row r="927" spans="1:25" ht="12.75" customHeight="1" outlineLevel="2">
      <c r="A927" s="170">
        <v>1</v>
      </c>
      <c r="B927" s="162" t="s">
        <v>237</v>
      </c>
      <c r="C927" s="162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4">
        <f t="shared" si="143"/>
        <v>0</v>
      </c>
    </row>
    <row r="928" spans="1:25" ht="18" outlineLevel="2">
      <c r="A928" s="170"/>
      <c r="B928" s="5">
        <f>D928+G928+J928</f>
        <v>50</v>
      </c>
      <c r="C928" s="8">
        <f>E928+H928+K928</f>
        <v>126</v>
      </c>
      <c r="D928" s="5">
        <v>50</v>
      </c>
      <c r="E928" s="8">
        <f>D928*FORECAST(D928,AA$12:AA$13,Z$12:Z$13)</f>
        <v>126</v>
      </c>
      <c r="F928" s="5" t="s">
        <v>433</v>
      </c>
      <c r="G928" s="5"/>
      <c r="H928" s="5"/>
      <c r="I928" s="5"/>
      <c r="J928" s="5"/>
      <c r="K928" s="5"/>
      <c r="L928" s="5"/>
      <c r="M928" s="5">
        <v>300</v>
      </c>
      <c r="N928" s="5">
        <v>1000</v>
      </c>
      <c r="O928" s="8">
        <f>C928/0.92</f>
        <v>136.95652173913044</v>
      </c>
      <c r="P928" s="5">
        <v>1</v>
      </c>
      <c r="Q928" s="5">
        <v>250</v>
      </c>
      <c r="R928" s="8">
        <f>1.454*C928</f>
        <v>183.204</v>
      </c>
      <c r="S928" s="9">
        <f>E928*1.454*0.4</f>
        <v>73.28160000000001</v>
      </c>
      <c r="T928" s="9">
        <f>E928*1.454*0.2</f>
        <v>36.640800000000006</v>
      </c>
      <c r="U928" s="9">
        <f>E928*1.454*0.2</f>
        <v>36.640800000000006</v>
      </c>
      <c r="V928" s="9">
        <f>E928*1.454*0.2</f>
        <v>36.640800000000006</v>
      </c>
      <c r="W928" s="9">
        <f>H928*1.454</f>
        <v>0</v>
      </c>
      <c r="X928" s="9">
        <f>K928*1.454</f>
        <v>0</v>
      </c>
      <c r="Y928" s="4">
        <f t="shared" si="143"/>
        <v>73.28160000000001</v>
      </c>
    </row>
    <row r="929" spans="1:25" ht="12.75" customHeight="1" outlineLevel="2">
      <c r="A929" s="170">
        <v>1</v>
      </c>
      <c r="B929" s="162" t="s">
        <v>238</v>
      </c>
      <c r="C929" s="162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4">
        <f t="shared" si="143"/>
        <v>0</v>
      </c>
    </row>
    <row r="930" spans="1:25" ht="18" outlineLevel="2">
      <c r="A930" s="170"/>
      <c r="B930" s="5">
        <f>D930+G930+J930</f>
        <v>9</v>
      </c>
      <c r="C930" s="8">
        <f>E930+H930+K930</f>
        <v>52.290000000000006</v>
      </c>
      <c r="D930" s="5">
        <v>9</v>
      </c>
      <c r="E930" s="8">
        <f>D930*FORECAST(D930,AA$7:AA$8,Z$7:Z$8)</f>
        <v>52.290000000000006</v>
      </c>
      <c r="F930" s="5" t="s">
        <v>433</v>
      </c>
      <c r="G930" s="5"/>
      <c r="H930" s="5"/>
      <c r="I930" s="5"/>
      <c r="J930" s="5"/>
      <c r="K930" s="5"/>
      <c r="L930" s="5"/>
      <c r="M930" s="5"/>
      <c r="N930" s="5">
        <v>500</v>
      </c>
      <c r="O930" s="8">
        <f>C930/0.92</f>
        <v>56.83695652173913</v>
      </c>
      <c r="P930" s="5"/>
      <c r="Q930" s="5"/>
      <c r="R930" s="8">
        <f>1.454*C930</f>
        <v>76.02966</v>
      </c>
      <c r="S930" s="9">
        <f>E930*1.454*0.4</f>
        <v>30.411864000000005</v>
      </c>
      <c r="T930" s="9">
        <f>E930*1.454*0.2</f>
        <v>15.205932000000002</v>
      </c>
      <c r="U930" s="9">
        <f>E930*1.454*0.2</f>
        <v>15.205932000000002</v>
      </c>
      <c r="V930" s="9">
        <f>E930*1.454*0.2</f>
        <v>15.205932000000002</v>
      </c>
      <c r="W930" s="9">
        <f>H930*1.454</f>
        <v>0</v>
      </c>
      <c r="X930" s="9">
        <f>K930*1.454</f>
        <v>0</v>
      </c>
      <c r="Y930" s="4">
        <f t="shared" si="143"/>
        <v>30.411864000000005</v>
      </c>
    </row>
    <row r="931" spans="1:25" ht="12.75" customHeight="1" outlineLevel="2">
      <c r="A931" s="170">
        <v>2</v>
      </c>
      <c r="B931" s="162" t="s">
        <v>239</v>
      </c>
      <c r="C931" s="162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4">
        <f t="shared" si="143"/>
        <v>0</v>
      </c>
    </row>
    <row r="932" spans="1:25" ht="18" outlineLevel="2">
      <c r="A932" s="170"/>
      <c r="B932" s="5">
        <f>D932+G932+J932</f>
        <v>5</v>
      </c>
      <c r="C932" s="5">
        <f>E932+H932+K932</f>
        <v>37.6</v>
      </c>
      <c r="D932" s="5">
        <v>5</v>
      </c>
      <c r="E932" s="8">
        <f>D932*FORECAST(D932,AA$5:AA$6,Z$5:Z$6)</f>
        <v>37.6</v>
      </c>
      <c r="F932" s="5" t="s">
        <v>433</v>
      </c>
      <c r="G932" s="5"/>
      <c r="H932" s="5"/>
      <c r="I932" s="5"/>
      <c r="J932" s="5"/>
      <c r="K932" s="5"/>
      <c r="L932" s="5"/>
      <c r="M932" s="5"/>
      <c r="N932" s="5">
        <v>280</v>
      </c>
      <c r="O932" s="8">
        <f>C932/0.92</f>
        <v>40.869565217391305</v>
      </c>
      <c r="P932" s="5"/>
      <c r="Q932" s="5"/>
      <c r="R932" s="8">
        <f>1.454*C932</f>
        <v>54.6704</v>
      </c>
      <c r="S932" s="9">
        <f>E932*1.454*0.4</f>
        <v>21.868160000000003</v>
      </c>
      <c r="T932" s="9">
        <f>E932*1.454*0.2</f>
        <v>10.934080000000002</v>
      </c>
      <c r="U932" s="9">
        <f>E932*1.454*0.2</f>
        <v>10.934080000000002</v>
      </c>
      <c r="V932" s="9">
        <f>E932*1.454*0.2</f>
        <v>10.934080000000002</v>
      </c>
      <c r="W932" s="9">
        <f>H932*1.454</f>
        <v>0</v>
      </c>
      <c r="X932" s="9">
        <f>K932*1.454</f>
        <v>0</v>
      </c>
      <c r="Y932" s="4">
        <f t="shared" si="143"/>
        <v>21.868160000000003</v>
      </c>
    </row>
    <row r="933" spans="1:25" ht="12.75" customHeight="1" outlineLevel="2">
      <c r="A933" s="170">
        <v>3</v>
      </c>
      <c r="B933" s="162" t="s">
        <v>240</v>
      </c>
      <c r="C933" s="162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4">
        <f t="shared" si="143"/>
        <v>0</v>
      </c>
    </row>
    <row r="934" spans="1:25" ht="18" outlineLevel="2">
      <c r="A934" s="170"/>
      <c r="B934" s="5">
        <f>D934+G934+J934</f>
        <v>5</v>
      </c>
      <c r="C934" s="5">
        <f>E934+H934+K934</f>
        <v>37.6</v>
      </c>
      <c r="D934" s="5">
        <v>5</v>
      </c>
      <c r="E934" s="8">
        <f>D934*FORECAST(D934,AA$5:AA$6,Z$5:Z$6)</f>
        <v>37.6</v>
      </c>
      <c r="F934" s="5" t="s">
        <v>433</v>
      </c>
      <c r="G934" s="5"/>
      <c r="H934" s="5"/>
      <c r="I934" s="5"/>
      <c r="J934" s="5"/>
      <c r="K934" s="5"/>
      <c r="L934" s="5"/>
      <c r="M934" s="5"/>
      <c r="N934" s="5">
        <v>220</v>
      </c>
      <c r="O934" s="8">
        <f>C934/0.92</f>
        <v>40.869565217391305</v>
      </c>
      <c r="P934" s="5"/>
      <c r="Q934" s="5"/>
      <c r="R934" s="8">
        <f>1.454*C934</f>
        <v>54.6704</v>
      </c>
      <c r="S934" s="9">
        <f>E934*1.454*0.4</f>
        <v>21.868160000000003</v>
      </c>
      <c r="T934" s="9">
        <f>E934*1.454*0.2</f>
        <v>10.934080000000002</v>
      </c>
      <c r="U934" s="9">
        <f>E934*1.454*0.2</f>
        <v>10.934080000000002</v>
      </c>
      <c r="V934" s="9">
        <f>E934*1.454*0.2</f>
        <v>10.934080000000002</v>
      </c>
      <c r="W934" s="9">
        <f>H934*1.454</f>
        <v>0</v>
      </c>
      <c r="X934" s="9">
        <f>K934*1.454</f>
        <v>0</v>
      </c>
      <c r="Y934" s="4">
        <f t="shared" si="143"/>
        <v>21.868160000000003</v>
      </c>
    </row>
    <row r="935" spans="1:25" ht="36" outlineLevel="2">
      <c r="A935" s="6" t="s">
        <v>431</v>
      </c>
      <c r="B935" s="6">
        <f>B930+B932+B934</f>
        <v>19</v>
      </c>
      <c r="C935" s="19">
        <f>C930+C932+C934</f>
        <v>127.49000000000001</v>
      </c>
      <c r="D935" s="6">
        <f>D930+D932+D934</f>
        <v>19</v>
      </c>
      <c r="E935" s="19">
        <f>E930+E932+E934</f>
        <v>127.49000000000001</v>
      </c>
      <c r="F935" s="6" t="s">
        <v>433</v>
      </c>
      <c r="G935" s="6">
        <f>G930+G932+G934</f>
        <v>0</v>
      </c>
      <c r="H935" s="6">
        <f>H930+H932+H934</f>
        <v>0</v>
      </c>
      <c r="I935" s="6" t="s">
        <v>441</v>
      </c>
      <c r="J935" s="6">
        <f aca="true" t="shared" si="148" ref="J935:X935">J930+J932+J934</f>
        <v>0</v>
      </c>
      <c r="K935" s="6">
        <f t="shared" si="148"/>
        <v>0</v>
      </c>
      <c r="L935" s="6" t="s">
        <v>441</v>
      </c>
      <c r="M935" s="6">
        <f t="shared" si="148"/>
        <v>0</v>
      </c>
      <c r="N935" s="6">
        <f t="shared" si="148"/>
        <v>1000</v>
      </c>
      <c r="O935" s="19">
        <f t="shared" si="148"/>
        <v>138.57608695652175</v>
      </c>
      <c r="P935" s="6">
        <f t="shared" si="148"/>
        <v>0</v>
      </c>
      <c r="Q935" s="6">
        <f t="shared" si="148"/>
        <v>0</v>
      </c>
      <c r="R935" s="19">
        <f t="shared" si="148"/>
        <v>185.37046</v>
      </c>
      <c r="S935" s="19">
        <f t="shared" si="148"/>
        <v>74.14818400000001</v>
      </c>
      <c r="T935" s="19">
        <f t="shared" si="148"/>
        <v>37.07409200000001</v>
      </c>
      <c r="U935" s="19">
        <f t="shared" si="148"/>
        <v>37.07409200000001</v>
      </c>
      <c r="V935" s="19">
        <f t="shared" si="148"/>
        <v>37.07409200000001</v>
      </c>
      <c r="W935" s="19">
        <f t="shared" si="148"/>
        <v>0</v>
      </c>
      <c r="X935" s="19">
        <f t="shared" si="148"/>
        <v>0</v>
      </c>
      <c r="Y935" s="4">
        <f aca="true" t="shared" si="149" ref="Y935:Y998">U935*2</f>
        <v>74.14818400000001</v>
      </c>
    </row>
    <row r="936" spans="1:25" ht="12.75" customHeight="1" outlineLevel="2">
      <c r="A936" s="170">
        <v>1</v>
      </c>
      <c r="B936" s="162" t="s">
        <v>241</v>
      </c>
      <c r="C936" s="162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4">
        <f t="shared" si="149"/>
        <v>0</v>
      </c>
    </row>
    <row r="937" spans="1:25" ht="18" outlineLevel="2">
      <c r="A937" s="170"/>
      <c r="B937" s="5">
        <f>D937+G937+J937</f>
        <v>18</v>
      </c>
      <c r="C937" s="8">
        <f>E937+H937+K937</f>
        <v>70.55999999999999</v>
      </c>
      <c r="D937" s="5">
        <v>18</v>
      </c>
      <c r="E937" s="8">
        <f>D937*FORECAST(D937,AA$10:AA$11,Z$10:Z$11)</f>
        <v>70.55999999999999</v>
      </c>
      <c r="F937" s="5" t="s">
        <v>433</v>
      </c>
      <c r="G937" s="5"/>
      <c r="H937" s="5"/>
      <c r="I937" s="5"/>
      <c r="J937" s="5"/>
      <c r="K937" s="5"/>
      <c r="L937" s="5"/>
      <c r="M937" s="5"/>
      <c r="N937" s="5">
        <v>800</v>
      </c>
      <c r="O937" s="8">
        <f>C937/0.92</f>
        <v>76.69565217391303</v>
      </c>
      <c r="P937" s="5"/>
      <c r="Q937" s="5"/>
      <c r="R937" s="8">
        <f>1.454*C937</f>
        <v>102.59423999999999</v>
      </c>
      <c r="S937" s="9">
        <f>E937*1.454*0.4</f>
        <v>41.037696</v>
      </c>
      <c r="T937" s="9">
        <f>E937*1.454*0.2</f>
        <v>20.518848</v>
      </c>
      <c r="U937" s="9">
        <f>E937*1.454*0.2</f>
        <v>20.518848</v>
      </c>
      <c r="V937" s="9">
        <f>E937*1.454*0.2</f>
        <v>20.518848</v>
      </c>
      <c r="W937" s="9">
        <f>H937*1.454</f>
        <v>0</v>
      </c>
      <c r="X937" s="9">
        <f>K937*1.454</f>
        <v>0</v>
      </c>
      <c r="Y937" s="4">
        <f t="shared" si="149"/>
        <v>41.037696</v>
      </c>
    </row>
    <row r="938" spans="1:25" ht="12.75" customHeight="1" outlineLevel="2">
      <c r="A938" s="170">
        <v>1</v>
      </c>
      <c r="B938" s="162" t="s">
        <v>493</v>
      </c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4">
        <f t="shared" si="149"/>
        <v>0</v>
      </c>
    </row>
    <row r="939" spans="1:25" ht="18" outlineLevel="2">
      <c r="A939" s="170"/>
      <c r="B939" s="5">
        <f>D939+G939+J939</f>
        <v>21</v>
      </c>
      <c r="C939" s="8">
        <f>E939+H939+K939</f>
        <v>76.335</v>
      </c>
      <c r="D939" s="5">
        <v>21</v>
      </c>
      <c r="E939" s="8">
        <f>D939*FORECAST(D939,AA$10:AA$11,Z$10:Z$11)</f>
        <v>76.335</v>
      </c>
      <c r="F939" s="5" t="s">
        <v>433</v>
      </c>
      <c r="G939" s="5"/>
      <c r="H939" s="5"/>
      <c r="I939" s="5"/>
      <c r="J939" s="5"/>
      <c r="K939" s="5"/>
      <c r="L939" s="5"/>
      <c r="M939" s="5">
        <v>100</v>
      </c>
      <c r="N939" s="5">
        <v>540</v>
      </c>
      <c r="O939" s="8">
        <f>C939/0.92</f>
        <v>82.97282608695652</v>
      </c>
      <c r="P939" s="5">
        <v>1</v>
      </c>
      <c r="Q939" s="5">
        <v>400</v>
      </c>
      <c r="R939" s="8">
        <f>1.454*C939</f>
        <v>110.99108999999999</v>
      </c>
      <c r="S939" s="9">
        <f>E939*1.454*0.4</f>
        <v>44.396435999999994</v>
      </c>
      <c r="T939" s="9">
        <f>E939*1.454*0.2</f>
        <v>22.198217999999997</v>
      </c>
      <c r="U939" s="9">
        <f>E939*1.454*0.2</f>
        <v>22.198217999999997</v>
      </c>
      <c r="V939" s="9">
        <f>E939*1.454*0.2</f>
        <v>22.198217999999997</v>
      </c>
      <c r="W939" s="9">
        <f>H939*1.454</f>
        <v>0</v>
      </c>
      <c r="X939" s="9">
        <f>K939*1.454</f>
        <v>0</v>
      </c>
      <c r="Y939" s="4">
        <f t="shared" si="149"/>
        <v>44.396435999999994</v>
      </c>
    </row>
    <row r="940" spans="1:25" ht="12.75" customHeight="1" outlineLevel="2">
      <c r="A940" s="170">
        <v>2</v>
      </c>
      <c r="B940" s="162" t="s">
        <v>494</v>
      </c>
      <c r="C940" s="162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4">
        <f t="shared" si="149"/>
        <v>0</v>
      </c>
    </row>
    <row r="941" spans="1:25" ht="18" outlineLevel="2">
      <c r="A941" s="170"/>
      <c r="B941" s="5">
        <f>D941+G941+J941</f>
        <v>42</v>
      </c>
      <c r="C941" s="8">
        <f>E941+H941+K941</f>
        <v>110.54400000000001</v>
      </c>
      <c r="D941" s="5">
        <v>42</v>
      </c>
      <c r="E941" s="8">
        <f>D941*FORECAST(D941,AA$12:AA$13,Z$12:Z$13)</f>
        <v>110.54400000000001</v>
      </c>
      <c r="F941" s="5" t="s">
        <v>433</v>
      </c>
      <c r="G941" s="5"/>
      <c r="H941" s="5"/>
      <c r="I941" s="5"/>
      <c r="J941" s="5"/>
      <c r="K941" s="5"/>
      <c r="L941" s="5"/>
      <c r="M941" s="5"/>
      <c r="N941" s="5">
        <v>540</v>
      </c>
      <c r="O941" s="8">
        <f>C941/0.92</f>
        <v>120.15652173913044</v>
      </c>
      <c r="P941" s="5"/>
      <c r="Q941" s="5"/>
      <c r="R941" s="8">
        <f>1.454*C941</f>
        <v>160.730976</v>
      </c>
      <c r="S941" s="9">
        <f>E941*1.454*0.4</f>
        <v>64.2923904</v>
      </c>
      <c r="T941" s="9">
        <f>E941*1.454*0.2</f>
        <v>32.1461952</v>
      </c>
      <c r="U941" s="9">
        <f>E941*1.454*0.2</f>
        <v>32.1461952</v>
      </c>
      <c r="V941" s="9">
        <f>E941*1.454*0.2</f>
        <v>32.1461952</v>
      </c>
      <c r="W941" s="9">
        <f>H941*1.454</f>
        <v>0</v>
      </c>
      <c r="X941" s="9">
        <f>K941*1.454</f>
        <v>0</v>
      </c>
      <c r="Y941" s="4">
        <f t="shared" si="149"/>
        <v>64.2923904</v>
      </c>
    </row>
    <row r="942" spans="1:25" ht="12.75" customHeight="1" outlineLevel="2">
      <c r="A942" s="170">
        <v>3</v>
      </c>
      <c r="B942" s="162" t="s">
        <v>495</v>
      </c>
      <c r="C942" s="162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4">
        <f t="shared" si="149"/>
        <v>0</v>
      </c>
    </row>
    <row r="943" spans="1:25" ht="18" outlineLevel="2">
      <c r="A943" s="170"/>
      <c r="B943" s="5">
        <f>D943+G943+J943</f>
        <v>42</v>
      </c>
      <c r="C943" s="8">
        <f>E943+H943+K943</f>
        <v>110.54400000000001</v>
      </c>
      <c r="D943" s="5">
        <v>42</v>
      </c>
      <c r="E943" s="8">
        <f>D943*FORECAST(D943,AA$12:AA$13,Z$12:Z$13)</f>
        <v>110.54400000000001</v>
      </c>
      <c r="F943" s="5" t="s">
        <v>433</v>
      </c>
      <c r="G943" s="5"/>
      <c r="H943" s="5"/>
      <c r="I943" s="5"/>
      <c r="J943" s="5"/>
      <c r="K943" s="5"/>
      <c r="L943" s="5"/>
      <c r="M943" s="5"/>
      <c r="N943" s="5">
        <v>540</v>
      </c>
      <c r="O943" s="8">
        <f>C943/0.92</f>
        <v>120.15652173913044</v>
      </c>
      <c r="P943" s="5"/>
      <c r="Q943" s="5"/>
      <c r="R943" s="8">
        <f>1.454*C943</f>
        <v>160.730976</v>
      </c>
      <c r="S943" s="9">
        <f>E943*1.454*0.4</f>
        <v>64.2923904</v>
      </c>
      <c r="T943" s="9">
        <f>E943*1.454*0.2</f>
        <v>32.1461952</v>
      </c>
      <c r="U943" s="9">
        <f>E943*1.454*0.2</f>
        <v>32.1461952</v>
      </c>
      <c r="V943" s="9">
        <f>E943*1.454*0.2</f>
        <v>32.1461952</v>
      </c>
      <c r="W943" s="9">
        <f>H943*1.454</f>
        <v>0</v>
      </c>
      <c r="X943" s="9">
        <f>K943*1.454</f>
        <v>0</v>
      </c>
      <c r="Y943" s="4">
        <f t="shared" si="149"/>
        <v>64.2923904</v>
      </c>
    </row>
    <row r="944" spans="1:25" ht="12.75" customHeight="1" outlineLevel="2">
      <c r="A944" s="170">
        <v>4</v>
      </c>
      <c r="B944" s="162" t="s">
        <v>496</v>
      </c>
      <c r="C944" s="162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4">
        <f t="shared" si="149"/>
        <v>0</v>
      </c>
    </row>
    <row r="945" spans="1:25" ht="18" outlineLevel="2">
      <c r="A945" s="170"/>
      <c r="B945" s="5">
        <f>D945+G945+J945</f>
        <v>47</v>
      </c>
      <c r="C945" s="8">
        <f>E945+H945+K945</f>
        <v>120.41400000000002</v>
      </c>
      <c r="D945" s="5">
        <v>47</v>
      </c>
      <c r="E945" s="8">
        <f>D945*FORECAST(D945,AA$12:AA$13,Z$12:Z$13)</f>
        <v>120.41400000000002</v>
      </c>
      <c r="F945" s="5" t="s">
        <v>433</v>
      </c>
      <c r="G945" s="5"/>
      <c r="H945" s="5"/>
      <c r="I945" s="5"/>
      <c r="J945" s="5"/>
      <c r="K945" s="5"/>
      <c r="L945" s="5"/>
      <c r="M945" s="5"/>
      <c r="N945" s="5">
        <v>940</v>
      </c>
      <c r="O945" s="8">
        <f>C945/0.92</f>
        <v>130.88478260869567</v>
      </c>
      <c r="P945" s="5"/>
      <c r="Q945" s="5"/>
      <c r="R945" s="8">
        <f>1.454*C945</f>
        <v>175.08195600000002</v>
      </c>
      <c r="S945" s="9">
        <f>E945*1.454*0.4</f>
        <v>70.03278240000002</v>
      </c>
      <c r="T945" s="9">
        <f>E945*1.454*0.2</f>
        <v>35.01639120000001</v>
      </c>
      <c r="U945" s="9">
        <f>E945*1.454*0.2</f>
        <v>35.01639120000001</v>
      </c>
      <c r="V945" s="9">
        <f>E945*1.454*0.2</f>
        <v>35.01639120000001</v>
      </c>
      <c r="W945" s="9">
        <f>H945*1.454</f>
        <v>0</v>
      </c>
      <c r="X945" s="9">
        <f>K945*1.454</f>
        <v>0</v>
      </c>
      <c r="Y945" s="4">
        <f t="shared" si="149"/>
        <v>70.03278240000002</v>
      </c>
    </row>
    <row r="946" spans="1:25" ht="36" outlineLevel="2">
      <c r="A946" s="6" t="s">
        <v>431</v>
      </c>
      <c r="B946" s="7">
        <f>B939+B941+B943+B945</f>
        <v>152</v>
      </c>
      <c r="C946" s="10">
        <f>C939+C941+C943+C945</f>
        <v>417.837</v>
      </c>
      <c r="D946" s="7">
        <f>D939+D941+D943+D945</f>
        <v>152</v>
      </c>
      <c r="E946" s="10">
        <f>E939+E941+E943+E945</f>
        <v>417.837</v>
      </c>
      <c r="F946" s="7" t="s">
        <v>433</v>
      </c>
      <c r="G946" s="7">
        <f>G939+G941+G943+G945</f>
        <v>0</v>
      </c>
      <c r="H946" s="7">
        <f>H939+H941+H943+H945</f>
        <v>0</v>
      </c>
      <c r="I946" s="7" t="s">
        <v>441</v>
      </c>
      <c r="J946" s="7">
        <f aca="true" t="shared" si="150" ref="J946:X946">J939+J941+J943+J945</f>
        <v>0</v>
      </c>
      <c r="K946" s="7">
        <f t="shared" si="150"/>
        <v>0</v>
      </c>
      <c r="L946" s="7" t="s">
        <v>441</v>
      </c>
      <c r="M946" s="7">
        <f t="shared" si="150"/>
        <v>100</v>
      </c>
      <c r="N946" s="7">
        <f t="shared" si="150"/>
        <v>2560</v>
      </c>
      <c r="O946" s="10">
        <f t="shared" si="150"/>
        <v>454.1706521739131</v>
      </c>
      <c r="P946" s="7">
        <f t="shared" si="150"/>
        <v>1</v>
      </c>
      <c r="Q946" s="7">
        <f t="shared" si="150"/>
        <v>400</v>
      </c>
      <c r="R946" s="10">
        <f t="shared" si="150"/>
        <v>607.534998</v>
      </c>
      <c r="S946" s="10">
        <f t="shared" si="150"/>
        <v>243.0139992</v>
      </c>
      <c r="T946" s="10">
        <f t="shared" si="150"/>
        <v>121.5069996</v>
      </c>
      <c r="U946" s="10">
        <f t="shared" si="150"/>
        <v>121.5069996</v>
      </c>
      <c r="V946" s="10">
        <f t="shared" si="150"/>
        <v>121.5069996</v>
      </c>
      <c r="W946" s="10">
        <f t="shared" si="150"/>
        <v>0</v>
      </c>
      <c r="X946" s="10">
        <f t="shared" si="150"/>
        <v>0</v>
      </c>
      <c r="Y946" s="4">
        <f t="shared" si="149"/>
        <v>243.0139992</v>
      </c>
    </row>
    <row r="947" spans="1:25" ht="12.75" customHeight="1" outlineLevel="2">
      <c r="A947" s="170">
        <v>1</v>
      </c>
      <c r="B947" s="147" t="s">
        <v>242</v>
      </c>
      <c r="C947" s="147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4">
        <f t="shared" si="149"/>
        <v>0</v>
      </c>
    </row>
    <row r="948" spans="1:25" ht="18" outlineLevel="2">
      <c r="A948" s="170"/>
      <c r="B948" s="5">
        <f>D948+G948+J948</f>
        <v>10</v>
      </c>
      <c r="C948" s="8">
        <f>E948+H948+K948</f>
        <v>55.26666666666667</v>
      </c>
      <c r="D948" s="5">
        <v>10</v>
      </c>
      <c r="E948" s="8">
        <f>D948*FORECAST(D948,AA$7:AA$8,Z$7:Z$8)</f>
        <v>55.26666666666667</v>
      </c>
      <c r="F948" s="5" t="s">
        <v>433</v>
      </c>
      <c r="G948" s="5"/>
      <c r="H948" s="5"/>
      <c r="I948" s="5"/>
      <c r="J948" s="5"/>
      <c r="K948" s="5"/>
      <c r="L948" s="5"/>
      <c r="M948" s="5">
        <v>100</v>
      </c>
      <c r="N948" s="5">
        <v>300</v>
      </c>
      <c r="O948" s="8">
        <f>C948/0.92</f>
        <v>60.072463768115945</v>
      </c>
      <c r="P948" s="5">
        <v>1</v>
      </c>
      <c r="Q948" s="5">
        <v>250</v>
      </c>
      <c r="R948" s="8">
        <f>1.454*C948</f>
        <v>80.35773333333334</v>
      </c>
      <c r="S948" s="9">
        <f>E948*1.454*0.4</f>
        <v>32.14309333333334</v>
      </c>
      <c r="T948" s="9">
        <f>E948*1.454*0.2</f>
        <v>16.07154666666667</v>
      </c>
      <c r="U948" s="9">
        <f>E948*1.454*0.2</f>
        <v>16.07154666666667</v>
      </c>
      <c r="V948" s="9">
        <f>E948*1.454*0.2</f>
        <v>16.07154666666667</v>
      </c>
      <c r="W948" s="9">
        <f>H948*1.454</f>
        <v>0</v>
      </c>
      <c r="X948" s="9">
        <f>K948*1.454</f>
        <v>0</v>
      </c>
      <c r="Y948" s="4">
        <f t="shared" si="149"/>
        <v>32.14309333333334</v>
      </c>
    </row>
    <row r="949" spans="1:25" ht="12.75" customHeight="1" outlineLevel="2">
      <c r="A949" s="170">
        <v>2</v>
      </c>
      <c r="B949" s="162" t="s">
        <v>243</v>
      </c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4">
        <f t="shared" si="149"/>
        <v>0</v>
      </c>
    </row>
    <row r="950" spans="1:25" ht="18" outlineLevel="2">
      <c r="A950" s="170"/>
      <c r="B950" s="5">
        <f>D950+G950+J950</f>
        <v>20</v>
      </c>
      <c r="C950" s="5">
        <f>E950+H950+K950</f>
        <v>74.6</v>
      </c>
      <c r="D950" s="5">
        <v>20</v>
      </c>
      <c r="E950" s="8">
        <f>D950*FORECAST(D950,AA$10:AA$11,Z$10:Z$11)</f>
        <v>74.6</v>
      </c>
      <c r="F950" s="5" t="s">
        <v>433</v>
      </c>
      <c r="G950" s="5"/>
      <c r="H950" s="5"/>
      <c r="I950" s="5"/>
      <c r="J950" s="5"/>
      <c r="K950" s="5"/>
      <c r="L950" s="5"/>
      <c r="M950" s="5"/>
      <c r="N950" s="5">
        <v>750</v>
      </c>
      <c r="O950" s="8">
        <f>C950/0.92</f>
        <v>81.08695652173913</v>
      </c>
      <c r="P950" s="5"/>
      <c r="Q950" s="5"/>
      <c r="R950" s="8">
        <f>1.454*C950</f>
        <v>108.46839999999999</v>
      </c>
      <c r="S950" s="9">
        <f>E950*1.454*0.4</f>
        <v>43.38736</v>
      </c>
      <c r="T950" s="9">
        <f>E950*1.454*0.2</f>
        <v>21.69368</v>
      </c>
      <c r="U950" s="9">
        <f>E950*1.454*0.2</f>
        <v>21.69368</v>
      </c>
      <c r="V950" s="9">
        <f>E950*1.454*0.2</f>
        <v>21.69368</v>
      </c>
      <c r="W950" s="9">
        <f>H950*1.454</f>
        <v>0</v>
      </c>
      <c r="X950" s="9">
        <f>K950*1.454</f>
        <v>0</v>
      </c>
      <c r="Y950" s="4">
        <f t="shared" si="149"/>
        <v>43.38736</v>
      </c>
    </row>
    <row r="951" spans="1:25" ht="12.75" customHeight="1" outlineLevel="2">
      <c r="A951" s="170">
        <v>3</v>
      </c>
      <c r="B951" s="162" t="s">
        <v>244</v>
      </c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4">
        <f t="shared" si="149"/>
        <v>0</v>
      </c>
    </row>
    <row r="952" spans="1:25" ht="18" outlineLevel="2">
      <c r="A952" s="170"/>
      <c r="B952" s="5">
        <f>D952+G952+J952</f>
        <v>20</v>
      </c>
      <c r="C952" s="5">
        <f>E952+H952+K952</f>
        <v>74.6</v>
      </c>
      <c r="D952" s="5">
        <v>20</v>
      </c>
      <c r="E952" s="8">
        <f>D952*FORECAST(D952,AA$10:AA$11,Z$10:Z$11)</f>
        <v>74.6</v>
      </c>
      <c r="F952" s="5" t="s">
        <v>433</v>
      </c>
      <c r="G952" s="5"/>
      <c r="H952" s="5"/>
      <c r="I952" s="5"/>
      <c r="J952" s="5"/>
      <c r="K952" s="5"/>
      <c r="L952" s="5"/>
      <c r="M952" s="5"/>
      <c r="N952" s="5">
        <v>700</v>
      </c>
      <c r="O952" s="8">
        <f>C952/0.92</f>
        <v>81.08695652173913</v>
      </c>
      <c r="P952" s="5"/>
      <c r="Q952" s="5"/>
      <c r="R952" s="8">
        <f>1.454*C952</f>
        <v>108.46839999999999</v>
      </c>
      <c r="S952" s="9">
        <f>E952*1.454*0.4</f>
        <v>43.38736</v>
      </c>
      <c r="T952" s="9">
        <f>E952*1.454*0.2</f>
        <v>21.69368</v>
      </c>
      <c r="U952" s="9">
        <f>E952*1.454*0.2</f>
        <v>21.69368</v>
      </c>
      <c r="V952" s="9">
        <f>E952*1.454*0.2</f>
        <v>21.69368</v>
      </c>
      <c r="W952" s="9">
        <f>H952*1.454</f>
        <v>0</v>
      </c>
      <c r="X952" s="9">
        <f>K952*1.454</f>
        <v>0</v>
      </c>
      <c r="Y952" s="4">
        <f t="shared" si="149"/>
        <v>43.38736</v>
      </c>
    </row>
    <row r="953" spans="1:25" ht="12.75" customHeight="1" outlineLevel="2">
      <c r="A953" s="170">
        <v>4</v>
      </c>
      <c r="B953" s="162" t="s">
        <v>632</v>
      </c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4">
        <f t="shared" si="149"/>
        <v>0</v>
      </c>
    </row>
    <row r="954" spans="1:25" ht="18" outlineLevel="2">
      <c r="A954" s="170"/>
      <c r="B954" s="5">
        <f>D954+G954+J954</f>
        <v>12</v>
      </c>
      <c r="C954" s="8">
        <f>E954+H954+K954</f>
        <v>59.52000000000001</v>
      </c>
      <c r="D954" s="5">
        <v>12</v>
      </c>
      <c r="E954" s="8">
        <f>D954*FORECAST(D954,AA$7:AA$8,Z$7:Z$8)</f>
        <v>59.52000000000001</v>
      </c>
      <c r="F954" s="5" t="s">
        <v>433</v>
      </c>
      <c r="G954" s="5"/>
      <c r="H954" s="5"/>
      <c r="I954" s="5"/>
      <c r="J954" s="5"/>
      <c r="K954" s="5"/>
      <c r="L954" s="5"/>
      <c r="M954" s="5"/>
      <c r="N954" s="5">
        <v>500</v>
      </c>
      <c r="O954" s="8">
        <f>C954/0.92</f>
        <v>64.69565217391305</v>
      </c>
      <c r="P954" s="5"/>
      <c r="Q954" s="5"/>
      <c r="R954" s="8">
        <f>1.454*C954</f>
        <v>86.54208000000001</v>
      </c>
      <c r="S954" s="9">
        <f>E954*1.454*0.4</f>
        <v>34.61683200000001</v>
      </c>
      <c r="T954" s="9">
        <f>E954*1.454*0.2</f>
        <v>17.308416000000005</v>
      </c>
      <c r="U954" s="9">
        <f>E954*1.454*0.2</f>
        <v>17.308416000000005</v>
      </c>
      <c r="V954" s="9">
        <f>E954*1.454*0.2</f>
        <v>17.308416000000005</v>
      </c>
      <c r="W954" s="9">
        <f>H954*1.454</f>
        <v>0</v>
      </c>
      <c r="X954" s="9">
        <f>K954*1.454</f>
        <v>0</v>
      </c>
      <c r="Y954" s="4">
        <f t="shared" si="149"/>
        <v>34.61683200000001</v>
      </c>
    </row>
    <row r="955" spans="1:25" ht="36" outlineLevel="2">
      <c r="A955" s="6" t="s">
        <v>431</v>
      </c>
      <c r="B955" s="7">
        <f>B948+B950+B952+B954</f>
        <v>62</v>
      </c>
      <c r="C955" s="10">
        <f>C948+C950+C952+C954</f>
        <v>263.9866666666667</v>
      </c>
      <c r="D955" s="7">
        <f>D948+D950+D952+D954</f>
        <v>62</v>
      </c>
      <c r="E955" s="10">
        <f>E948+E950+E952+E954</f>
        <v>263.9866666666667</v>
      </c>
      <c r="F955" s="7" t="s">
        <v>433</v>
      </c>
      <c r="G955" s="7">
        <f>G948+G950+G952+G954</f>
        <v>0</v>
      </c>
      <c r="H955" s="7">
        <f>H948+H950+H952+H954</f>
        <v>0</v>
      </c>
      <c r="I955" s="7" t="s">
        <v>441</v>
      </c>
      <c r="J955" s="7">
        <f aca="true" t="shared" si="151" ref="J955:X955">J948+J950+J952+J954</f>
        <v>0</v>
      </c>
      <c r="K955" s="7">
        <f t="shared" si="151"/>
        <v>0</v>
      </c>
      <c r="L955" s="7" t="s">
        <v>441</v>
      </c>
      <c r="M955" s="7">
        <f t="shared" si="151"/>
        <v>100</v>
      </c>
      <c r="N955" s="7">
        <f t="shared" si="151"/>
        <v>2250</v>
      </c>
      <c r="O955" s="10">
        <f t="shared" si="151"/>
        <v>286.94202898550725</v>
      </c>
      <c r="P955" s="7">
        <f t="shared" si="151"/>
        <v>1</v>
      </c>
      <c r="Q955" s="7">
        <f t="shared" si="151"/>
        <v>250</v>
      </c>
      <c r="R955" s="10">
        <f t="shared" si="151"/>
        <v>383.83661333333333</v>
      </c>
      <c r="S955" s="10">
        <f t="shared" si="151"/>
        <v>153.53464533333334</v>
      </c>
      <c r="T955" s="10">
        <f t="shared" si="151"/>
        <v>76.76732266666667</v>
      </c>
      <c r="U955" s="10">
        <f t="shared" si="151"/>
        <v>76.76732266666667</v>
      </c>
      <c r="V955" s="10">
        <f t="shared" si="151"/>
        <v>76.76732266666667</v>
      </c>
      <c r="W955" s="10">
        <f t="shared" si="151"/>
        <v>0</v>
      </c>
      <c r="X955" s="10">
        <f t="shared" si="151"/>
        <v>0</v>
      </c>
      <c r="Y955" s="4">
        <f t="shared" si="149"/>
        <v>153.53464533333334</v>
      </c>
    </row>
    <row r="956" spans="1:25" ht="12.75" customHeight="1" outlineLevel="2">
      <c r="A956" s="160">
        <v>1</v>
      </c>
      <c r="B956" s="162" t="s">
        <v>245</v>
      </c>
      <c r="C956" s="162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4">
        <f t="shared" si="149"/>
        <v>0</v>
      </c>
    </row>
    <row r="957" spans="1:25" ht="18" outlineLevel="2">
      <c r="A957" s="160"/>
      <c r="B957" s="5">
        <f>D957+G957+J957</f>
        <v>50</v>
      </c>
      <c r="C957" s="8">
        <f>E957+H957+K957</f>
        <v>126</v>
      </c>
      <c r="D957" s="15">
        <v>50</v>
      </c>
      <c r="E957" s="8">
        <f>D957*FORECAST(D957,AA$12:AA$13,Z$12:Z$13)</f>
        <v>126</v>
      </c>
      <c r="F957" s="15" t="s">
        <v>433</v>
      </c>
      <c r="G957" s="15"/>
      <c r="H957" s="15"/>
      <c r="I957" s="15"/>
      <c r="J957" s="15"/>
      <c r="K957" s="15"/>
      <c r="L957" s="15"/>
      <c r="M957" s="15"/>
      <c r="N957" s="15">
        <v>300</v>
      </c>
      <c r="O957" s="8">
        <f>C957/0.92</f>
        <v>136.95652173913044</v>
      </c>
      <c r="P957" s="15">
        <v>1</v>
      </c>
      <c r="Q957" s="15">
        <v>250</v>
      </c>
      <c r="R957" s="8">
        <f>1.454*C957</f>
        <v>183.204</v>
      </c>
      <c r="S957" s="9">
        <f>E957*1.454*0.4</f>
        <v>73.28160000000001</v>
      </c>
      <c r="T957" s="9">
        <f>E957*1.454*0.2</f>
        <v>36.640800000000006</v>
      </c>
      <c r="U957" s="9">
        <f>E957*1.454*0.2</f>
        <v>36.640800000000006</v>
      </c>
      <c r="V957" s="9">
        <f>E957*1.454*0.2</f>
        <v>36.640800000000006</v>
      </c>
      <c r="W957" s="9">
        <f>H957*1.454</f>
        <v>0</v>
      </c>
      <c r="X957" s="9">
        <f>K957*1.454</f>
        <v>0</v>
      </c>
      <c r="Y957" s="4">
        <f t="shared" si="149"/>
        <v>73.28160000000001</v>
      </c>
    </row>
    <row r="958" spans="1:25" ht="12.75" customHeight="1" outlineLevel="2">
      <c r="A958" s="160">
        <v>2</v>
      </c>
      <c r="B958" s="162" t="s">
        <v>246</v>
      </c>
      <c r="C958" s="162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4">
        <f t="shared" si="149"/>
        <v>0</v>
      </c>
    </row>
    <row r="959" spans="1:25" ht="18" outlineLevel="2">
      <c r="A959" s="160"/>
      <c r="B959" s="5">
        <f>D959+G959+J959</f>
        <v>50</v>
      </c>
      <c r="C959" s="8">
        <f>E959+H959+K959</f>
        <v>126</v>
      </c>
      <c r="D959" s="15">
        <v>50</v>
      </c>
      <c r="E959" s="8">
        <f>D959*FORECAST(D959,AA$12:AA$13,Z$12:Z$13)</f>
        <v>126</v>
      </c>
      <c r="F959" s="15" t="s">
        <v>433</v>
      </c>
      <c r="G959" s="15"/>
      <c r="H959" s="15"/>
      <c r="I959" s="15"/>
      <c r="J959" s="15"/>
      <c r="K959" s="15"/>
      <c r="L959" s="15"/>
      <c r="M959" s="15"/>
      <c r="N959" s="15">
        <v>300</v>
      </c>
      <c r="O959" s="8">
        <f>C959/0.92</f>
        <v>136.95652173913044</v>
      </c>
      <c r="P959" s="15"/>
      <c r="Q959" s="15"/>
      <c r="R959" s="8">
        <f>1.454*C959</f>
        <v>183.204</v>
      </c>
      <c r="S959" s="9">
        <f>E959*1.454*0.4</f>
        <v>73.28160000000001</v>
      </c>
      <c r="T959" s="9">
        <f>E959*1.454*0.2</f>
        <v>36.640800000000006</v>
      </c>
      <c r="U959" s="9">
        <f>E959*1.454*0.2</f>
        <v>36.640800000000006</v>
      </c>
      <c r="V959" s="9">
        <f>E959*1.454*0.2</f>
        <v>36.640800000000006</v>
      </c>
      <c r="W959" s="9">
        <f>H959*1.454</f>
        <v>0</v>
      </c>
      <c r="X959" s="9">
        <f>K959*1.454</f>
        <v>0</v>
      </c>
      <c r="Y959" s="4">
        <f t="shared" si="149"/>
        <v>73.28160000000001</v>
      </c>
    </row>
    <row r="960" spans="1:25" ht="36" outlineLevel="2">
      <c r="A960" s="6" t="s">
        <v>431</v>
      </c>
      <c r="B960" s="7">
        <f>B957+B959</f>
        <v>100</v>
      </c>
      <c r="C960" s="10">
        <f>C957+C959</f>
        <v>252</v>
      </c>
      <c r="D960" s="7">
        <f>D957+D959</f>
        <v>100</v>
      </c>
      <c r="E960" s="10">
        <f>E957+E959</f>
        <v>252</v>
      </c>
      <c r="F960" s="7" t="s">
        <v>433</v>
      </c>
      <c r="G960" s="7">
        <f>G957+G959</f>
        <v>0</v>
      </c>
      <c r="H960" s="7">
        <f>H957+H959</f>
        <v>0</v>
      </c>
      <c r="I960" s="7" t="s">
        <v>441</v>
      </c>
      <c r="J960" s="7">
        <f aca="true" t="shared" si="152" ref="J960:X960">J957+J959</f>
        <v>0</v>
      </c>
      <c r="K960" s="7">
        <f t="shared" si="152"/>
        <v>0</v>
      </c>
      <c r="L960" s="7" t="s">
        <v>441</v>
      </c>
      <c r="M960" s="7">
        <f t="shared" si="152"/>
        <v>0</v>
      </c>
      <c r="N960" s="7">
        <f t="shared" si="152"/>
        <v>600</v>
      </c>
      <c r="O960" s="10">
        <f t="shared" si="152"/>
        <v>273.9130434782609</v>
      </c>
      <c r="P960" s="7">
        <f t="shared" si="152"/>
        <v>1</v>
      </c>
      <c r="Q960" s="7">
        <f t="shared" si="152"/>
        <v>250</v>
      </c>
      <c r="R960" s="10">
        <f t="shared" si="152"/>
        <v>366.408</v>
      </c>
      <c r="S960" s="10">
        <f t="shared" si="152"/>
        <v>146.56320000000002</v>
      </c>
      <c r="T960" s="10">
        <f t="shared" si="152"/>
        <v>73.28160000000001</v>
      </c>
      <c r="U960" s="10">
        <f t="shared" si="152"/>
        <v>73.28160000000001</v>
      </c>
      <c r="V960" s="10">
        <f t="shared" si="152"/>
        <v>73.28160000000001</v>
      </c>
      <c r="W960" s="10">
        <f t="shared" si="152"/>
        <v>0</v>
      </c>
      <c r="X960" s="10">
        <f t="shared" si="152"/>
        <v>0</v>
      </c>
      <c r="Y960" s="4">
        <f t="shared" si="149"/>
        <v>146.56320000000002</v>
      </c>
    </row>
    <row r="961" spans="1:25" ht="12.75" customHeight="1" outlineLevel="2">
      <c r="A961" s="170">
        <v>1</v>
      </c>
      <c r="B961" s="162" t="s">
        <v>247</v>
      </c>
      <c r="C961" s="162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4">
        <f t="shared" si="149"/>
        <v>0</v>
      </c>
    </row>
    <row r="962" spans="1:25" ht="18" outlineLevel="2">
      <c r="A962" s="170"/>
      <c r="B962" s="5">
        <f>D962+G962+J962</f>
        <v>30</v>
      </c>
      <c r="C962" s="8">
        <f>E962+H962+K962</f>
        <v>92.73749999999998</v>
      </c>
      <c r="D962" s="5">
        <v>30</v>
      </c>
      <c r="E962" s="8">
        <f>D962*FORECAST(D962,AA$11:AA$12,Z$11:Z$12)</f>
        <v>92.73749999999998</v>
      </c>
      <c r="F962" s="5" t="s">
        <v>433</v>
      </c>
      <c r="G962" s="5"/>
      <c r="H962" s="5"/>
      <c r="I962" s="5"/>
      <c r="J962" s="5"/>
      <c r="K962" s="5"/>
      <c r="L962" s="5"/>
      <c r="M962" s="5"/>
      <c r="N962" s="5">
        <v>1500</v>
      </c>
      <c r="O962" s="8">
        <f>C962/0.92</f>
        <v>100.80163043478258</v>
      </c>
      <c r="P962" s="5"/>
      <c r="Q962" s="5"/>
      <c r="R962" s="8">
        <f>1.454*C962</f>
        <v>134.84032499999998</v>
      </c>
      <c r="S962" s="9">
        <f>E962*1.454*0.4</f>
        <v>53.93612999999999</v>
      </c>
      <c r="T962" s="9">
        <f>E962*1.454*0.2</f>
        <v>26.968064999999996</v>
      </c>
      <c r="U962" s="9">
        <f>E962*1.454*0.2</f>
        <v>26.968064999999996</v>
      </c>
      <c r="V962" s="9">
        <f>E962*1.454*0.2</f>
        <v>26.968064999999996</v>
      </c>
      <c r="W962" s="9">
        <f>H962*1.454</f>
        <v>0</v>
      </c>
      <c r="X962" s="9">
        <f>K962*1.454</f>
        <v>0</v>
      </c>
      <c r="Y962" s="4">
        <f t="shared" si="149"/>
        <v>53.93612999999999</v>
      </c>
    </row>
    <row r="963" spans="1:25" ht="12.75" customHeight="1" outlineLevel="2">
      <c r="A963" s="170">
        <v>1</v>
      </c>
      <c r="B963" s="162" t="s">
        <v>248</v>
      </c>
      <c r="C963" s="162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4">
        <f t="shared" si="149"/>
        <v>0</v>
      </c>
    </row>
    <row r="964" spans="1:25" ht="18" outlineLevel="2">
      <c r="A964" s="170"/>
      <c r="B964" s="5">
        <f>D964+G964+J964</f>
        <v>50</v>
      </c>
      <c r="C964" s="8">
        <f>E964+H964+K964</f>
        <v>126</v>
      </c>
      <c r="D964" s="5">
        <v>50</v>
      </c>
      <c r="E964" s="8">
        <f>D964*FORECAST(D964,AA$12:AA$13,Z$12:Z$13)</f>
        <v>126</v>
      </c>
      <c r="F964" s="5" t="s">
        <v>433</v>
      </c>
      <c r="G964" s="5"/>
      <c r="H964" s="5"/>
      <c r="I964" s="5"/>
      <c r="J964" s="5"/>
      <c r="K964" s="5"/>
      <c r="L964" s="5"/>
      <c r="M964" s="5"/>
      <c r="N964" s="5">
        <v>270</v>
      </c>
      <c r="O964" s="8">
        <f>C964/0.92</f>
        <v>136.95652173913044</v>
      </c>
      <c r="P964" s="5">
        <v>1</v>
      </c>
      <c r="Q964" s="5">
        <v>400</v>
      </c>
      <c r="R964" s="8">
        <f>1.454*C964</f>
        <v>183.204</v>
      </c>
      <c r="S964" s="9">
        <f>E964*1.454*0.4</f>
        <v>73.28160000000001</v>
      </c>
      <c r="T964" s="9">
        <f>E964*1.454*0.2</f>
        <v>36.640800000000006</v>
      </c>
      <c r="U964" s="9">
        <f>E964*1.454*0.2</f>
        <v>36.640800000000006</v>
      </c>
      <c r="V964" s="9">
        <f>E964*1.454*0.2</f>
        <v>36.640800000000006</v>
      </c>
      <c r="W964" s="9">
        <f>H964*1.454</f>
        <v>0</v>
      </c>
      <c r="X964" s="9">
        <f>K964*1.454</f>
        <v>0</v>
      </c>
      <c r="Y964" s="4">
        <f t="shared" si="149"/>
        <v>73.28160000000001</v>
      </c>
    </row>
    <row r="965" spans="1:25" ht="12.75" customHeight="1" outlineLevel="2">
      <c r="A965" s="170">
        <v>2</v>
      </c>
      <c r="B965" s="162" t="s">
        <v>249</v>
      </c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4">
        <f t="shared" si="149"/>
        <v>0</v>
      </c>
    </row>
    <row r="966" spans="1:25" ht="18" outlineLevel="2">
      <c r="A966" s="170"/>
      <c r="B966" s="5">
        <f>D966+G966+J966</f>
        <v>50</v>
      </c>
      <c r="C966" s="8">
        <f>E966+H966+K966</f>
        <v>126</v>
      </c>
      <c r="D966" s="5">
        <v>50</v>
      </c>
      <c r="E966" s="8">
        <f>D966*FORECAST(D966,AA$12:AA$13,Z$12:Z$13)</f>
        <v>126</v>
      </c>
      <c r="F966" s="5" t="s">
        <v>433</v>
      </c>
      <c r="G966" s="5"/>
      <c r="H966" s="5"/>
      <c r="I966" s="5"/>
      <c r="J966" s="5"/>
      <c r="K966" s="5"/>
      <c r="L966" s="5"/>
      <c r="M966" s="5"/>
      <c r="N966" s="5">
        <v>270</v>
      </c>
      <c r="O966" s="8">
        <f>C966/0.92</f>
        <v>136.95652173913044</v>
      </c>
      <c r="P966" s="5"/>
      <c r="Q966" s="5"/>
      <c r="R966" s="8">
        <f>1.454*C966</f>
        <v>183.204</v>
      </c>
      <c r="S966" s="9">
        <f>E966*1.454*0.4</f>
        <v>73.28160000000001</v>
      </c>
      <c r="T966" s="9">
        <f>E966*1.454*0.2</f>
        <v>36.640800000000006</v>
      </c>
      <c r="U966" s="9">
        <f>E966*1.454*0.2</f>
        <v>36.640800000000006</v>
      </c>
      <c r="V966" s="9">
        <f>E966*1.454*0.2</f>
        <v>36.640800000000006</v>
      </c>
      <c r="W966" s="9">
        <f>H966*1.454</f>
        <v>0</v>
      </c>
      <c r="X966" s="9">
        <f>K966*1.454</f>
        <v>0</v>
      </c>
      <c r="Y966" s="4">
        <f t="shared" si="149"/>
        <v>73.28160000000001</v>
      </c>
    </row>
    <row r="967" spans="1:25" ht="12.75" customHeight="1" outlineLevel="2">
      <c r="A967" s="170">
        <v>3</v>
      </c>
      <c r="B967" s="162" t="s">
        <v>250</v>
      </c>
      <c r="C967" s="162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4">
        <f t="shared" si="149"/>
        <v>0</v>
      </c>
    </row>
    <row r="968" spans="1:25" ht="18" outlineLevel="2">
      <c r="A968" s="170"/>
      <c r="B968" s="5">
        <f>D968+G968+J968</f>
        <v>50</v>
      </c>
      <c r="C968" s="8">
        <f>E968+H968+K968</f>
        <v>126</v>
      </c>
      <c r="D968" s="5">
        <v>50</v>
      </c>
      <c r="E968" s="8">
        <f>D968*FORECAST(D968,AA$12:AA$13,Z$12:Z$13)</f>
        <v>126</v>
      </c>
      <c r="F968" s="5" t="s">
        <v>433</v>
      </c>
      <c r="G968" s="5"/>
      <c r="H968" s="5"/>
      <c r="I968" s="5"/>
      <c r="J968" s="5"/>
      <c r="K968" s="5"/>
      <c r="L968" s="5"/>
      <c r="M968" s="5"/>
      <c r="N968" s="5">
        <v>300</v>
      </c>
      <c r="O968" s="8">
        <f>C968/0.92</f>
        <v>136.95652173913044</v>
      </c>
      <c r="P968" s="5"/>
      <c r="Q968" s="5"/>
      <c r="R968" s="8">
        <f>1.454*C968</f>
        <v>183.204</v>
      </c>
      <c r="S968" s="9">
        <f>E968*1.454*0.4</f>
        <v>73.28160000000001</v>
      </c>
      <c r="T968" s="9">
        <f>E968*1.454*0.2</f>
        <v>36.640800000000006</v>
      </c>
      <c r="U968" s="9">
        <f>E968*1.454*0.2</f>
        <v>36.640800000000006</v>
      </c>
      <c r="V968" s="9">
        <f>E968*1.454*0.2</f>
        <v>36.640800000000006</v>
      </c>
      <c r="W968" s="9">
        <f>H968*1.454</f>
        <v>0</v>
      </c>
      <c r="X968" s="9">
        <f>K968*1.454</f>
        <v>0</v>
      </c>
      <c r="Y968" s="4">
        <f t="shared" si="149"/>
        <v>73.28160000000001</v>
      </c>
    </row>
    <row r="969" spans="1:25" ht="36" outlineLevel="2">
      <c r="A969" s="6" t="s">
        <v>431</v>
      </c>
      <c r="B969" s="7">
        <f>B964+B966+B968</f>
        <v>150</v>
      </c>
      <c r="C969" s="10">
        <f>C964+C966+C968</f>
        <v>378</v>
      </c>
      <c r="D969" s="7">
        <f>D964+D966+D968</f>
        <v>150</v>
      </c>
      <c r="E969" s="10">
        <f>E964+E966+E968</f>
        <v>378</v>
      </c>
      <c r="F969" s="7" t="s">
        <v>433</v>
      </c>
      <c r="G969" s="7">
        <f>G964+G966+G968</f>
        <v>0</v>
      </c>
      <c r="H969" s="7">
        <f>H964+H966+H968</f>
        <v>0</v>
      </c>
      <c r="I969" s="7" t="s">
        <v>441</v>
      </c>
      <c r="J969" s="7">
        <f aca="true" t="shared" si="153" ref="J969:X969">J964+J966+J968</f>
        <v>0</v>
      </c>
      <c r="K969" s="7">
        <f t="shared" si="153"/>
        <v>0</v>
      </c>
      <c r="L969" s="7" t="s">
        <v>441</v>
      </c>
      <c r="M969" s="7">
        <f t="shared" si="153"/>
        <v>0</v>
      </c>
      <c r="N969" s="7">
        <f t="shared" si="153"/>
        <v>840</v>
      </c>
      <c r="O969" s="10">
        <f t="shared" si="153"/>
        <v>410.8695652173913</v>
      </c>
      <c r="P969" s="7">
        <f t="shared" si="153"/>
        <v>1</v>
      </c>
      <c r="Q969" s="7">
        <f t="shared" si="153"/>
        <v>400</v>
      </c>
      <c r="R969" s="10">
        <f t="shared" si="153"/>
        <v>549.6120000000001</v>
      </c>
      <c r="S969" s="10">
        <f t="shared" si="153"/>
        <v>219.84480000000002</v>
      </c>
      <c r="T969" s="10">
        <f t="shared" si="153"/>
        <v>109.92240000000001</v>
      </c>
      <c r="U969" s="10">
        <f t="shared" si="153"/>
        <v>109.92240000000001</v>
      </c>
      <c r="V969" s="10">
        <f t="shared" si="153"/>
        <v>109.92240000000001</v>
      </c>
      <c r="W969" s="10">
        <f t="shared" si="153"/>
        <v>0</v>
      </c>
      <c r="X969" s="10">
        <f t="shared" si="153"/>
        <v>0</v>
      </c>
      <c r="Y969" s="4">
        <f t="shared" si="149"/>
        <v>219.84480000000002</v>
      </c>
    </row>
    <row r="970" spans="1:25" ht="12.75" customHeight="1" outlineLevel="2">
      <c r="A970" s="170">
        <v>1</v>
      </c>
      <c r="B970" s="162" t="s">
        <v>251</v>
      </c>
      <c r="C970" s="162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4">
        <f t="shared" si="149"/>
        <v>0</v>
      </c>
    </row>
    <row r="971" spans="1:25" ht="18" outlineLevel="2">
      <c r="A971" s="170"/>
      <c r="B971" s="5">
        <f>D971+G971+J971</f>
        <v>25</v>
      </c>
      <c r="C971" s="8">
        <f>E971+H971+K971</f>
        <v>82.671875</v>
      </c>
      <c r="D971" s="5">
        <v>25</v>
      </c>
      <c r="E971" s="8">
        <f>D971*FORECAST(D971,AA$11:AA$12,Z$11:Z$12)</f>
        <v>82.671875</v>
      </c>
      <c r="F971" s="5" t="s">
        <v>433</v>
      </c>
      <c r="G971" s="5"/>
      <c r="H971" s="5"/>
      <c r="I971" s="5"/>
      <c r="J971" s="5"/>
      <c r="K971" s="5"/>
      <c r="L971" s="5"/>
      <c r="M971" s="5">
        <v>200</v>
      </c>
      <c r="N971" s="5">
        <v>1000</v>
      </c>
      <c r="O971" s="8">
        <f>C971/0.92</f>
        <v>89.86073369565217</v>
      </c>
      <c r="P971" s="5">
        <v>1</v>
      </c>
      <c r="Q971" s="5">
        <v>100</v>
      </c>
      <c r="R971" s="8">
        <f>1.454*C971</f>
        <v>120.20490625</v>
      </c>
      <c r="S971" s="9">
        <f>E971*1.454*0.4</f>
        <v>48.0819625</v>
      </c>
      <c r="T971" s="9">
        <f>E971*1.454*0.2</f>
        <v>24.04098125</v>
      </c>
      <c r="U971" s="9">
        <f>E971*1.454*0.2</f>
        <v>24.04098125</v>
      </c>
      <c r="V971" s="9">
        <f>E971*1.454*0.2</f>
        <v>24.04098125</v>
      </c>
      <c r="W971" s="9">
        <f>H971*1.454</f>
        <v>0</v>
      </c>
      <c r="X971" s="9">
        <f>K971*1.454</f>
        <v>0</v>
      </c>
      <c r="Y971" s="4">
        <f t="shared" si="149"/>
        <v>48.0819625</v>
      </c>
    </row>
    <row r="972" spans="1:25" ht="12.75" customHeight="1" outlineLevel="2">
      <c r="A972" s="170">
        <v>1</v>
      </c>
      <c r="B972" s="162" t="s">
        <v>252</v>
      </c>
      <c r="C972" s="162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4">
        <f t="shared" si="149"/>
        <v>0</v>
      </c>
    </row>
    <row r="973" spans="1:25" ht="18" outlineLevel="2">
      <c r="A973" s="170"/>
      <c r="B973" s="5">
        <f>D973+G973+J973</f>
        <v>100</v>
      </c>
      <c r="C973" s="8">
        <f>E973+H973+K973</f>
        <v>216</v>
      </c>
      <c r="D973" s="5">
        <v>100</v>
      </c>
      <c r="E973" s="8">
        <f>D973*FORECAST(D973,AA$13:AA$14,Z$13:Z$14)</f>
        <v>216</v>
      </c>
      <c r="F973" s="5" t="s">
        <v>433</v>
      </c>
      <c r="G973" s="5"/>
      <c r="H973" s="5"/>
      <c r="I973" s="5"/>
      <c r="J973" s="5"/>
      <c r="K973" s="5"/>
      <c r="L973" s="5"/>
      <c r="M973" s="5"/>
      <c r="N973" s="5">
        <v>2500</v>
      </c>
      <c r="O973" s="8">
        <f>C973/0.92</f>
        <v>234.78260869565216</v>
      </c>
      <c r="P973" s="5">
        <v>1</v>
      </c>
      <c r="Q973" s="5">
        <v>250</v>
      </c>
      <c r="R973" s="8">
        <f>1.454*C973</f>
        <v>314.06399999999996</v>
      </c>
      <c r="S973" s="9">
        <f>E973*1.454*0.4</f>
        <v>125.62559999999999</v>
      </c>
      <c r="T973" s="9">
        <f>E973*1.454*0.2</f>
        <v>62.812799999999996</v>
      </c>
      <c r="U973" s="9">
        <f>E973*1.454*0.2</f>
        <v>62.812799999999996</v>
      </c>
      <c r="V973" s="9">
        <f>E973*1.454*0.2</f>
        <v>62.812799999999996</v>
      </c>
      <c r="W973" s="9">
        <f>H973*1.454</f>
        <v>0</v>
      </c>
      <c r="X973" s="9">
        <f>K973*1.454</f>
        <v>0</v>
      </c>
      <c r="Y973" s="4">
        <f t="shared" si="149"/>
        <v>125.62559999999999</v>
      </c>
    </row>
    <row r="974" spans="1:25" ht="12.75" customHeight="1" outlineLevel="2">
      <c r="A974" s="170">
        <v>1</v>
      </c>
      <c r="B974" s="162" t="s">
        <v>253</v>
      </c>
      <c r="C974" s="162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4">
        <f t="shared" si="149"/>
        <v>0</v>
      </c>
    </row>
    <row r="975" spans="1:25" ht="18" outlineLevel="2">
      <c r="A975" s="170"/>
      <c r="B975" s="5">
        <f>D975+G975+J975</f>
        <v>80</v>
      </c>
      <c r="C975" s="5">
        <f>E975+H975+K975</f>
        <v>181.6</v>
      </c>
      <c r="D975" s="5">
        <v>80</v>
      </c>
      <c r="E975" s="8">
        <f>D975*FORECAST(D975,AA$13:AA$14,Z$13:Z$14)</f>
        <v>181.6</v>
      </c>
      <c r="F975" s="5" t="s">
        <v>433</v>
      </c>
      <c r="G975" s="5"/>
      <c r="H975" s="5"/>
      <c r="I975" s="5"/>
      <c r="J975" s="5"/>
      <c r="K975" s="5"/>
      <c r="L975" s="5"/>
      <c r="M975" s="5">
        <v>300</v>
      </c>
      <c r="N975" s="5">
        <v>1000</v>
      </c>
      <c r="O975" s="8">
        <f>C975/0.92</f>
        <v>197.39130434782606</v>
      </c>
      <c r="P975" s="5">
        <v>1</v>
      </c>
      <c r="Q975" s="5">
        <v>250</v>
      </c>
      <c r="R975" s="8">
        <f>1.454*C975</f>
        <v>264.0464</v>
      </c>
      <c r="S975" s="9">
        <f>E975*1.454*0.4</f>
        <v>105.61856</v>
      </c>
      <c r="T975" s="9">
        <f>E975*1.454*0.2</f>
        <v>52.80928</v>
      </c>
      <c r="U975" s="9">
        <f>E975*1.454*0.2</f>
        <v>52.80928</v>
      </c>
      <c r="V975" s="9">
        <f>E975*1.454*0.2</f>
        <v>52.80928</v>
      </c>
      <c r="W975" s="9">
        <f>H975*1.454</f>
        <v>0</v>
      </c>
      <c r="X975" s="9">
        <f>K975*1.454</f>
        <v>0</v>
      </c>
      <c r="Y975" s="4">
        <f t="shared" si="149"/>
        <v>105.61856</v>
      </c>
    </row>
    <row r="976" spans="1:25" ht="12.75" customHeight="1" outlineLevel="2">
      <c r="A976" s="170">
        <v>1</v>
      </c>
      <c r="B976" s="162" t="s">
        <v>254</v>
      </c>
      <c r="C976" s="162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4">
        <f t="shared" si="149"/>
        <v>0</v>
      </c>
    </row>
    <row r="977" spans="1:25" ht="18" outlineLevel="2">
      <c r="A977" s="170"/>
      <c r="B977" s="5">
        <f>D977+G977+J977</f>
        <v>107</v>
      </c>
      <c r="C977" s="8">
        <f>E977+H977+K977</f>
        <v>229.62199999999999</v>
      </c>
      <c r="D977" s="5">
        <v>107</v>
      </c>
      <c r="E977" s="8">
        <f>D977*FORECAST(D977,AA$14:AA$15,Z$14:Z$15)</f>
        <v>229.62199999999999</v>
      </c>
      <c r="F977" s="5" t="s">
        <v>433</v>
      </c>
      <c r="G977" s="5"/>
      <c r="H977" s="5"/>
      <c r="I977" s="5"/>
      <c r="J977" s="5"/>
      <c r="K977" s="5"/>
      <c r="L977" s="5"/>
      <c r="M977" s="5"/>
      <c r="N977" s="5">
        <v>1600</v>
      </c>
      <c r="O977" s="8">
        <f>C977/0.92</f>
        <v>249.5891304347826</v>
      </c>
      <c r="P977" s="5">
        <v>1</v>
      </c>
      <c r="Q977" s="5">
        <v>400</v>
      </c>
      <c r="R977" s="8">
        <f>1.454*C977</f>
        <v>333.870388</v>
      </c>
      <c r="S977" s="9">
        <f>E977*1.454*0.4</f>
        <v>133.5481552</v>
      </c>
      <c r="T977" s="9">
        <f>E977*1.454*0.2</f>
        <v>66.7740776</v>
      </c>
      <c r="U977" s="9">
        <f>E977*1.454*0.2</f>
        <v>66.7740776</v>
      </c>
      <c r="V977" s="9">
        <f>E977*1.454*0.2</f>
        <v>66.7740776</v>
      </c>
      <c r="W977" s="9">
        <f>H977*1.454</f>
        <v>0</v>
      </c>
      <c r="X977" s="9">
        <f>K977*1.454</f>
        <v>0</v>
      </c>
      <c r="Y977" s="4">
        <f t="shared" si="149"/>
        <v>133.5481552</v>
      </c>
    </row>
    <row r="978" spans="1:25" ht="12.75" customHeight="1" outlineLevel="2">
      <c r="A978" s="170">
        <v>2</v>
      </c>
      <c r="B978" s="162" t="s">
        <v>255</v>
      </c>
      <c r="C978" s="162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4">
        <f t="shared" si="149"/>
        <v>0</v>
      </c>
    </row>
    <row r="979" spans="1:25" ht="18" outlineLevel="2">
      <c r="A979" s="170"/>
      <c r="B979" s="5">
        <f>D979+G979+J979</f>
        <v>23</v>
      </c>
      <c r="C979" s="8">
        <f>E979+H979+K979</f>
        <v>79.23499999999999</v>
      </c>
      <c r="D979" s="5">
        <v>23</v>
      </c>
      <c r="E979" s="8">
        <f>D979*FORECAST(D979,AA$10:AA$11,Z$10:Z$11)</f>
        <v>79.23499999999999</v>
      </c>
      <c r="F979" s="5" t="s">
        <v>433</v>
      </c>
      <c r="G979" s="5"/>
      <c r="H979" s="5"/>
      <c r="I979" s="5"/>
      <c r="J979" s="5"/>
      <c r="K979" s="5"/>
      <c r="L979" s="5"/>
      <c r="M979" s="5"/>
      <c r="N979" s="5">
        <v>600</v>
      </c>
      <c r="O979" s="8">
        <f>C979/0.92</f>
        <v>86.12499999999999</v>
      </c>
      <c r="P979" s="5"/>
      <c r="Q979" s="5"/>
      <c r="R979" s="8">
        <f>1.454*C979</f>
        <v>115.20768999999997</v>
      </c>
      <c r="S979" s="9">
        <f>E979*1.454*0.4</f>
        <v>46.08307599999999</v>
      </c>
      <c r="T979" s="9">
        <f>E979*1.454*0.2</f>
        <v>23.041537999999996</v>
      </c>
      <c r="U979" s="9">
        <f>E979*1.454*0.2</f>
        <v>23.041537999999996</v>
      </c>
      <c r="V979" s="9">
        <f>E979*1.454*0.2</f>
        <v>23.041537999999996</v>
      </c>
      <c r="W979" s="9">
        <f>H979*1.454</f>
        <v>0</v>
      </c>
      <c r="X979" s="9">
        <f>K979*1.454</f>
        <v>0</v>
      </c>
      <c r="Y979" s="4">
        <f t="shared" si="149"/>
        <v>46.08307599999999</v>
      </c>
    </row>
    <row r="980" spans="1:25" ht="36" outlineLevel="2">
      <c r="A980" s="6" t="s">
        <v>431</v>
      </c>
      <c r="B980" s="7">
        <f>B977+B979</f>
        <v>130</v>
      </c>
      <c r="C980" s="10">
        <f>C977+C979</f>
        <v>308.85699999999997</v>
      </c>
      <c r="D980" s="7">
        <f>D977+D979</f>
        <v>130</v>
      </c>
      <c r="E980" s="10">
        <f>E977+E979</f>
        <v>308.85699999999997</v>
      </c>
      <c r="F980" s="7" t="s">
        <v>433</v>
      </c>
      <c r="G980" s="7">
        <f>G977+G979</f>
        <v>0</v>
      </c>
      <c r="H980" s="7">
        <f>H977+H979</f>
        <v>0</v>
      </c>
      <c r="I980" s="7" t="s">
        <v>441</v>
      </c>
      <c r="J980" s="7">
        <f aca="true" t="shared" si="154" ref="J980:X980">J977+J979</f>
        <v>0</v>
      </c>
      <c r="K980" s="7">
        <f t="shared" si="154"/>
        <v>0</v>
      </c>
      <c r="L980" s="7" t="s">
        <v>441</v>
      </c>
      <c r="M980" s="7">
        <f t="shared" si="154"/>
        <v>0</v>
      </c>
      <c r="N980" s="7">
        <f t="shared" si="154"/>
        <v>2200</v>
      </c>
      <c r="O980" s="10">
        <f t="shared" si="154"/>
        <v>335.7141304347826</v>
      </c>
      <c r="P980" s="7">
        <f t="shared" si="154"/>
        <v>1</v>
      </c>
      <c r="Q980" s="7">
        <f t="shared" si="154"/>
        <v>400</v>
      </c>
      <c r="R980" s="10">
        <f t="shared" si="154"/>
        <v>449.07807799999995</v>
      </c>
      <c r="S980" s="10">
        <f t="shared" si="154"/>
        <v>179.6312312</v>
      </c>
      <c r="T980" s="10">
        <f t="shared" si="154"/>
        <v>89.8156156</v>
      </c>
      <c r="U980" s="10">
        <f t="shared" si="154"/>
        <v>89.8156156</v>
      </c>
      <c r="V980" s="10">
        <f t="shared" si="154"/>
        <v>89.8156156</v>
      </c>
      <c r="W980" s="10">
        <f t="shared" si="154"/>
        <v>0</v>
      </c>
      <c r="X980" s="10">
        <f t="shared" si="154"/>
        <v>0</v>
      </c>
      <c r="Y980" s="4">
        <f t="shared" si="149"/>
        <v>179.6312312</v>
      </c>
    </row>
    <row r="981" spans="1:25" ht="12.75" customHeight="1" outlineLevel="2">
      <c r="A981" s="170">
        <v>1</v>
      </c>
      <c r="B981" s="162" t="s">
        <v>256</v>
      </c>
      <c r="C981" s="162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4">
        <f t="shared" si="149"/>
        <v>0</v>
      </c>
    </row>
    <row r="982" spans="1:25" ht="18" outlineLevel="2">
      <c r="A982" s="170"/>
      <c r="B982" s="5">
        <f>D982+G982+J982</f>
        <v>20</v>
      </c>
      <c r="C982" s="5">
        <f>E982+H982+K982</f>
        <v>74.6</v>
      </c>
      <c r="D982" s="5">
        <v>20</v>
      </c>
      <c r="E982" s="8">
        <f>D982*FORECAST(D982,AA$10:AA$11,Z$10:Z$11)</f>
        <v>74.6</v>
      </c>
      <c r="F982" s="5" t="s">
        <v>433</v>
      </c>
      <c r="G982" s="5"/>
      <c r="H982" s="5"/>
      <c r="I982" s="5"/>
      <c r="J982" s="5"/>
      <c r="K982" s="5"/>
      <c r="L982" s="5"/>
      <c r="M982" s="5">
        <v>100</v>
      </c>
      <c r="N982" s="5">
        <v>700</v>
      </c>
      <c r="O982" s="8">
        <f>C982/0.92</f>
        <v>81.08695652173913</v>
      </c>
      <c r="P982" s="5">
        <v>1</v>
      </c>
      <c r="Q982" s="5">
        <v>100</v>
      </c>
      <c r="R982" s="8">
        <f>1.454*C982</f>
        <v>108.46839999999999</v>
      </c>
      <c r="S982" s="9">
        <f>E982*1.454*0.4</f>
        <v>43.38736</v>
      </c>
      <c r="T982" s="9">
        <f>E982*1.454*0.2</f>
        <v>21.69368</v>
      </c>
      <c r="U982" s="9">
        <f>E982*1.454*0.2</f>
        <v>21.69368</v>
      </c>
      <c r="V982" s="9">
        <f>E982*1.454*0.2</f>
        <v>21.69368</v>
      </c>
      <c r="W982" s="9">
        <f>H982*1.454</f>
        <v>0</v>
      </c>
      <c r="X982" s="9">
        <f>K982*1.454</f>
        <v>0</v>
      </c>
      <c r="Y982" s="4">
        <f t="shared" si="149"/>
        <v>43.38736</v>
      </c>
    </row>
    <row r="983" spans="1:25" ht="12.75" customHeight="1" outlineLevel="2">
      <c r="A983" s="170">
        <v>1</v>
      </c>
      <c r="B983" s="162" t="s">
        <v>51</v>
      </c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4">
        <f t="shared" si="149"/>
        <v>0</v>
      </c>
    </row>
    <row r="984" spans="1:25" ht="18" outlineLevel="2">
      <c r="A984" s="170"/>
      <c r="B984" s="5">
        <f>D984+G984+J984</f>
        <v>20</v>
      </c>
      <c r="C984" s="5">
        <f>E984+H984+K984</f>
        <v>74.6</v>
      </c>
      <c r="D984" s="5">
        <v>20</v>
      </c>
      <c r="E984" s="8">
        <f>D984*FORECAST(D984,AA$10:AA$11,Z$10:Z$11)</f>
        <v>74.6</v>
      </c>
      <c r="F984" s="5" t="s">
        <v>433</v>
      </c>
      <c r="G984" s="5"/>
      <c r="H984" s="5"/>
      <c r="I984" s="5"/>
      <c r="J984" s="5"/>
      <c r="K984" s="5"/>
      <c r="L984" s="5"/>
      <c r="M984" s="5">
        <v>100</v>
      </c>
      <c r="N984" s="5">
        <v>700</v>
      </c>
      <c r="O984" s="8">
        <f>C984/0.92</f>
        <v>81.08695652173913</v>
      </c>
      <c r="P984" s="5">
        <v>1</v>
      </c>
      <c r="Q984" s="5">
        <v>100</v>
      </c>
      <c r="R984" s="8">
        <f>1.454*C984</f>
        <v>108.46839999999999</v>
      </c>
      <c r="S984" s="9">
        <f>E984*1.454*0.4</f>
        <v>43.38736</v>
      </c>
      <c r="T984" s="9">
        <f>E984*1.454*0.2</f>
        <v>21.69368</v>
      </c>
      <c r="U984" s="9">
        <f>E984*1.454*0.2</f>
        <v>21.69368</v>
      </c>
      <c r="V984" s="9">
        <f>E984*1.454*0.2</f>
        <v>21.69368</v>
      </c>
      <c r="W984" s="9">
        <f>H984*1.454</f>
        <v>0</v>
      </c>
      <c r="X984" s="9">
        <f>K984*1.454</f>
        <v>0</v>
      </c>
      <c r="Y984" s="4">
        <f t="shared" si="149"/>
        <v>43.38736</v>
      </c>
    </row>
    <row r="985" spans="1:25" ht="12.75" customHeight="1" outlineLevel="2">
      <c r="A985" s="170">
        <v>1</v>
      </c>
      <c r="B985" s="162" t="s">
        <v>257</v>
      </c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4">
        <f t="shared" si="149"/>
        <v>0</v>
      </c>
    </row>
    <row r="986" spans="1:25" ht="18" outlineLevel="2">
      <c r="A986" s="170"/>
      <c r="B986" s="5">
        <f>D986+G986+J986</f>
        <v>150</v>
      </c>
      <c r="C986" s="8">
        <f>E986+H986+K986</f>
        <v>309</v>
      </c>
      <c r="D986" s="5">
        <v>150</v>
      </c>
      <c r="E986" s="8">
        <f>D986*FORECAST(D986,AA$14:AA$15,Z$14:Z$15)</f>
        <v>309</v>
      </c>
      <c r="F986" s="5" t="s">
        <v>433</v>
      </c>
      <c r="G986" s="5"/>
      <c r="H986" s="5"/>
      <c r="I986" s="5"/>
      <c r="J986" s="5"/>
      <c r="K986" s="5"/>
      <c r="L986" s="5"/>
      <c r="M986" s="5">
        <v>200</v>
      </c>
      <c r="N986" s="5">
        <v>1500</v>
      </c>
      <c r="O986" s="8">
        <f>C986/0.92</f>
        <v>335.8695652173913</v>
      </c>
      <c r="P986" s="5">
        <v>1</v>
      </c>
      <c r="Q986" s="5">
        <v>400</v>
      </c>
      <c r="R986" s="8">
        <f>1.454*C986</f>
        <v>449.286</v>
      </c>
      <c r="S986" s="9">
        <f>E986*1.454*0.4</f>
        <v>179.7144</v>
      </c>
      <c r="T986" s="9">
        <f>E986*1.454*0.2</f>
        <v>89.8572</v>
      </c>
      <c r="U986" s="9">
        <f>E986*1.454*0.2</f>
        <v>89.8572</v>
      </c>
      <c r="V986" s="9">
        <f>E986*1.454*0.2</f>
        <v>89.8572</v>
      </c>
      <c r="W986" s="9">
        <f>H986*1.454</f>
        <v>0</v>
      </c>
      <c r="X986" s="9">
        <f>K986*1.454</f>
        <v>0</v>
      </c>
      <c r="Y986" s="4">
        <f t="shared" si="149"/>
        <v>179.7144</v>
      </c>
    </row>
    <row r="987" spans="1:25" ht="12.75" customHeight="1" outlineLevel="2">
      <c r="A987" s="170">
        <v>1</v>
      </c>
      <c r="B987" s="162" t="s">
        <v>258</v>
      </c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4">
        <f t="shared" si="149"/>
        <v>0</v>
      </c>
    </row>
    <row r="988" spans="1:25" ht="18" outlineLevel="2">
      <c r="A988" s="170"/>
      <c r="B988" s="5">
        <f>D988+G988+J988</f>
        <v>16</v>
      </c>
      <c r="C988" s="5">
        <f>E988+H988+K988</f>
        <v>67.19999999999999</v>
      </c>
      <c r="D988" s="5">
        <v>16</v>
      </c>
      <c r="E988" s="8">
        <f>D988*FORECAST(D988,AA$9:AA$10,Z$9:Z$10)</f>
        <v>67.19999999999999</v>
      </c>
      <c r="F988" s="5" t="s">
        <v>433</v>
      </c>
      <c r="G988" s="5"/>
      <c r="H988" s="5"/>
      <c r="I988" s="5"/>
      <c r="J988" s="5"/>
      <c r="K988" s="5"/>
      <c r="L988" s="5"/>
      <c r="M988" s="5"/>
      <c r="N988" s="5">
        <v>500</v>
      </c>
      <c r="O988" s="8">
        <f>C988/0.92</f>
        <v>73.04347826086955</v>
      </c>
      <c r="P988" s="5"/>
      <c r="Q988" s="5"/>
      <c r="R988" s="8">
        <f>1.454*C988</f>
        <v>97.70879999999998</v>
      </c>
      <c r="S988" s="9">
        <f>E988*1.454*0.4</f>
        <v>39.08351999999999</v>
      </c>
      <c r="T988" s="9">
        <f>E988*1.454*0.2</f>
        <v>19.541759999999996</v>
      </c>
      <c r="U988" s="9">
        <f>E988*1.454*0.2</f>
        <v>19.541759999999996</v>
      </c>
      <c r="V988" s="9">
        <f>E988*1.454*0.2</f>
        <v>19.541759999999996</v>
      </c>
      <c r="W988" s="9">
        <f>H988*1.454</f>
        <v>0</v>
      </c>
      <c r="X988" s="9">
        <f>K988*1.454</f>
        <v>0</v>
      </c>
      <c r="Y988" s="4">
        <f t="shared" si="149"/>
        <v>39.08351999999999</v>
      </c>
    </row>
    <row r="989" spans="1:25" ht="12.75" customHeight="1" outlineLevel="2">
      <c r="A989" s="170">
        <v>1</v>
      </c>
      <c r="B989" s="162" t="s">
        <v>259</v>
      </c>
      <c r="C989" s="162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4">
        <f t="shared" si="149"/>
        <v>0</v>
      </c>
    </row>
    <row r="990" spans="1:25" ht="18" outlineLevel="2">
      <c r="A990" s="170"/>
      <c r="B990" s="5">
        <f>D990+G990+J990</f>
        <v>20</v>
      </c>
      <c r="C990" s="5">
        <f>E990+H990+K990</f>
        <v>74.6</v>
      </c>
      <c r="D990" s="5">
        <v>20</v>
      </c>
      <c r="E990" s="8">
        <f>D990*FORECAST(D990,AA$10:AA$11,Z$10:Z$11)</f>
        <v>74.6</v>
      </c>
      <c r="F990" s="5" t="s">
        <v>433</v>
      </c>
      <c r="G990" s="5"/>
      <c r="H990" s="5"/>
      <c r="I990" s="5"/>
      <c r="J990" s="5"/>
      <c r="K990" s="5"/>
      <c r="L990" s="5"/>
      <c r="M990" s="5"/>
      <c r="N990" s="5">
        <v>200</v>
      </c>
      <c r="O990" s="8">
        <f>C990/0.92</f>
        <v>81.08695652173913</v>
      </c>
      <c r="P990" s="5"/>
      <c r="Q990" s="5"/>
      <c r="R990" s="8">
        <f>1.454*C990</f>
        <v>108.46839999999999</v>
      </c>
      <c r="S990" s="9">
        <f>E990*1.454*0.4</f>
        <v>43.38736</v>
      </c>
      <c r="T990" s="9">
        <f>E990*1.454*0.2</f>
        <v>21.69368</v>
      </c>
      <c r="U990" s="9">
        <f>E990*1.454*0.2</f>
        <v>21.69368</v>
      </c>
      <c r="V990" s="9">
        <f>E990*1.454*0.2</f>
        <v>21.69368</v>
      </c>
      <c r="W990" s="9">
        <f>H990*1.454</f>
        <v>0</v>
      </c>
      <c r="X990" s="9">
        <f>K990*1.454</f>
        <v>0</v>
      </c>
      <c r="Y990" s="4">
        <f t="shared" si="149"/>
        <v>43.38736</v>
      </c>
    </row>
    <row r="991" spans="1:25" ht="12.75" customHeight="1" outlineLevel="2">
      <c r="A991" s="170">
        <v>1</v>
      </c>
      <c r="B991" s="162" t="s">
        <v>260</v>
      </c>
      <c r="C991" s="162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4">
        <f t="shared" si="149"/>
        <v>0</v>
      </c>
    </row>
    <row r="992" spans="1:25" ht="18" outlineLevel="2">
      <c r="A992" s="170"/>
      <c r="B992" s="5">
        <f>D992+G992+J992</f>
        <v>21</v>
      </c>
      <c r="C992" s="5">
        <f>E992+H992+K992</f>
        <v>76.335</v>
      </c>
      <c r="D992" s="5">
        <v>21</v>
      </c>
      <c r="E992" s="8">
        <f>D992*FORECAST(D992,AA$10:AA$11,Z$10:Z$11)</f>
        <v>76.335</v>
      </c>
      <c r="F992" s="5" t="s">
        <v>433</v>
      </c>
      <c r="G992" s="5"/>
      <c r="H992" s="5"/>
      <c r="I992" s="5"/>
      <c r="J992" s="5"/>
      <c r="K992" s="5"/>
      <c r="L992" s="5"/>
      <c r="M992" s="5"/>
      <c r="N992" s="5">
        <v>485</v>
      </c>
      <c r="O992" s="8">
        <f>C992/0.92</f>
        <v>82.97282608695652</v>
      </c>
      <c r="P992" s="5"/>
      <c r="Q992" s="5"/>
      <c r="R992" s="8">
        <f>1.454*C992</f>
        <v>110.99108999999999</v>
      </c>
      <c r="S992" s="9">
        <f>E992*1.454*0.4</f>
        <v>44.396435999999994</v>
      </c>
      <c r="T992" s="9">
        <f>E992*1.454*0.2</f>
        <v>22.198217999999997</v>
      </c>
      <c r="U992" s="9">
        <f>E992*1.454*0.2</f>
        <v>22.198217999999997</v>
      </c>
      <c r="V992" s="9">
        <f>E992*1.454*0.2</f>
        <v>22.198217999999997</v>
      </c>
      <c r="W992" s="9">
        <f>H992*1.454</f>
        <v>0</v>
      </c>
      <c r="X992" s="9">
        <f>K992*1.454</f>
        <v>0</v>
      </c>
      <c r="Y992" s="4">
        <f t="shared" si="149"/>
        <v>44.396435999999994</v>
      </c>
    </row>
    <row r="993" spans="1:25" ht="12.75" customHeight="1" outlineLevel="2">
      <c r="A993" s="170">
        <v>2</v>
      </c>
      <c r="B993" s="162" t="s">
        <v>261</v>
      </c>
      <c r="C993" s="162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4">
        <f t="shared" si="149"/>
        <v>0</v>
      </c>
    </row>
    <row r="994" spans="1:25" ht="18" outlineLevel="2">
      <c r="A994" s="170"/>
      <c r="B994" s="5">
        <f>D994+G994+J994</f>
        <v>16</v>
      </c>
      <c r="C994" s="5">
        <f>E994+H994+K994</f>
        <v>67.19999999999999</v>
      </c>
      <c r="D994" s="5">
        <v>16</v>
      </c>
      <c r="E994" s="8">
        <f>D994*FORECAST(D994,AA$9:AA$10,Z$9:Z$10)</f>
        <v>67.19999999999999</v>
      </c>
      <c r="F994" s="5" t="s">
        <v>433</v>
      </c>
      <c r="G994" s="5"/>
      <c r="H994" s="5"/>
      <c r="I994" s="5"/>
      <c r="J994" s="5"/>
      <c r="K994" s="5"/>
      <c r="L994" s="5"/>
      <c r="M994" s="5"/>
      <c r="N994" s="5">
        <v>485</v>
      </c>
      <c r="O994" s="8">
        <f>C994/0.92</f>
        <v>73.04347826086955</v>
      </c>
      <c r="P994" s="5"/>
      <c r="Q994" s="5"/>
      <c r="R994" s="8">
        <f>1.454*C994</f>
        <v>97.70879999999998</v>
      </c>
      <c r="S994" s="9">
        <f>E994*1.454*0.4</f>
        <v>39.08351999999999</v>
      </c>
      <c r="T994" s="9">
        <f>E994*1.454*0.2</f>
        <v>19.541759999999996</v>
      </c>
      <c r="U994" s="9">
        <f>E994*1.454*0.2</f>
        <v>19.541759999999996</v>
      </c>
      <c r="V994" s="9">
        <f>E994*1.454*0.2</f>
        <v>19.541759999999996</v>
      </c>
      <c r="W994" s="9">
        <f>H994*1.454</f>
        <v>0</v>
      </c>
      <c r="X994" s="9">
        <f>K994*1.454</f>
        <v>0</v>
      </c>
      <c r="Y994" s="4">
        <f t="shared" si="149"/>
        <v>39.08351999999999</v>
      </c>
    </row>
    <row r="995" spans="1:25" ht="12.75" customHeight="1" outlineLevel="2">
      <c r="A995" s="170">
        <v>3</v>
      </c>
      <c r="B995" s="162" t="s">
        <v>262</v>
      </c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4">
        <f t="shared" si="149"/>
        <v>0</v>
      </c>
    </row>
    <row r="996" spans="1:25" ht="18" outlineLevel="2">
      <c r="A996" s="170"/>
      <c r="B996" s="5">
        <f>D996+G996+J996</f>
        <v>23</v>
      </c>
      <c r="C996" s="8">
        <f>E996+H996+K996</f>
        <v>79.23499999999999</v>
      </c>
      <c r="D996" s="5">
        <v>23</v>
      </c>
      <c r="E996" s="8">
        <f>D996*FORECAST(D996,AA$10:AA$11,Z$10:Z$11)</f>
        <v>79.23499999999999</v>
      </c>
      <c r="F996" s="5" t="s">
        <v>433</v>
      </c>
      <c r="G996" s="5"/>
      <c r="H996" s="5"/>
      <c r="I996" s="5"/>
      <c r="J996" s="5"/>
      <c r="K996" s="5"/>
      <c r="L996" s="5"/>
      <c r="M996" s="5"/>
      <c r="N996" s="5">
        <v>335</v>
      </c>
      <c r="O996" s="8">
        <f>C996/0.92</f>
        <v>86.12499999999999</v>
      </c>
      <c r="P996" s="5"/>
      <c r="Q996" s="5"/>
      <c r="R996" s="8">
        <f>1.454*C996</f>
        <v>115.20768999999997</v>
      </c>
      <c r="S996" s="9">
        <f>E996*1.454*0.4</f>
        <v>46.08307599999999</v>
      </c>
      <c r="T996" s="9">
        <f>E996*1.454*0.2</f>
        <v>23.041537999999996</v>
      </c>
      <c r="U996" s="9">
        <f>E996*1.454*0.2</f>
        <v>23.041537999999996</v>
      </c>
      <c r="V996" s="9">
        <f>E996*1.454*0.2</f>
        <v>23.041537999999996</v>
      </c>
      <c r="W996" s="9">
        <f>H996*1.454</f>
        <v>0</v>
      </c>
      <c r="X996" s="9">
        <f>K996*1.454</f>
        <v>0</v>
      </c>
      <c r="Y996" s="4">
        <f t="shared" si="149"/>
        <v>46.08307599999999</v>
      </c>
    </row>
    <row r="997" spans="1:25" ht="12.75" customHeight="1" outlineLevel="2">
      <c r="A997" s="170">
        <v>4</v>
      </c>
      <c r="B997" s="162" t="s">
        <v>263</v>
      </c>
      <c r="C997" s="162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4">
        <f t="shared" si="149"/>
        <v>0</v>
      </c>
    </row>
    <row r="998" spans="1:25" ht="18" outlineLevel="2">
      <c r="A998" s="170"/>
      <c r="B998" s="5">
        <f>D998+G998+J998</f>
        <v>7</v>
      </c>
      <c r="C998" s="8">
        <f>E998+H998+K998</f>
        <v>46.50333333333332</v>
      </c>
      <c r="D998" s="5">
        <v>7</v>
      </c>
      <c r="E998" s="8">
        <f>D998*FORECAST(D998,AA$6:AA$7,Z$6:Z$7)</f>
        <v>46.50333333333332</v>
      </c>
      <c r="F998" s="5" t="s">
        <v>433</v>
      </c>
      <c r="G998" s="5"/>
      <c r="H998" s="5"/>
      <c r="I998" s="5"/>
      <c r="J998" s="5"/>
      <c r="K998" s="5"/>
      <c r="L998" s="5"/>
      <c r="M998" s="5">
        <v>100</v>
      </c>
      <c r="N998" s="5">
        <v>395</v>
      </c>
      <c r="O998" s="8">
        <f>C998/0.92</f>
        <v>50.54710144927535</v>
      </c>
      <c r="P998" s="5">
        <v>1</v>
      </c>
      <c r="Q998" s="5">
        <v>400</v>
      </c>
      <c r="R998" s="8">
        <f>1.454*C998</f>
        <v>67.61584666666666</v>
      </c>
      <c r="S998" s="9">
        <f>E998*1.454*0.4</f>
        <v>27.046338666666664</v>
      </c>
      <c r="T998" s="9">
        <f>E998*1.454*0.2</f>
        <v>13.523169333333332</v>
      </c>
      <c r="U998" s="9">
        <f>E998*1.454*0.2</f>
        <v>13.523169333333332</v>
      </c>
      <c r="V998" s="9">
        <f>E998*1.454*0.2</f>
        <v>13.523169333333332</v>
      </c>
      <c r="W998" s="9">
        <f>H998*1.454</f>
        <v>0</v>
      </c>
      <c r="X998" s="9">
        <f>K998*1.454</f>
        <v>0</v>
      </c>
      <c r="Y998" s="4">
        <f t="shared" si="149"/>
        <v>27.046338666666664</v>
      </c>
    </row>
    <row r="999" spans="1:25" ht="12.75" customHeight="1" outlineLevel="2">
      <c r="A999" s="170">
        <v>5</v>
      </c>
      <c r="B999" s="162" t="s">
        <v>264</v>
      </c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4">
        <f aca="true" t="shared" si="155" ref="Y999:Y1061">U999*2</f>
        <v>0</v>
      </c>
    </row>
    <row r="1000" spans="1:25" ht="18" outlineLevel="2">
      <c r="A1000" s="170"/>
      <c r="B1000" s="5">
        <f>D1000+G1000+J1000</f>
        <v>39</v>
      </c>
      <c r="C1000" s="8">
        <f>E1000+H1000+K1000</f>
        <v>105.421875</v>
      </c>
      <c r="D1000" s="5">
        <v>39</v>
      </c>
      <c r="E1000" s="8">
        <f>D1000*FORECAST(D1000,AA$11:AA$12,Z$11:Z$12)</f>
        <v>105.421875</v>
      </c>
      <c r="F1000" s="5" t="s">
        <v>433</v>
      </c>
      <c r="G1000" s="5"/>
      <c r="H1000" s="5"/>
      <c r="I1000" s="5"/>
      <c r="J1000" s="5"/>
      <c r="K1000" s="5"/>
      <c r="L1000" s="5"/>
      <c r="M1000" s="5"/>
      <c r="N1000" s="5">
        <v>570</v>
      </c>
      <c r="O1000" s="8">
        <f>C1000/0.92</f>
        <v>114.58899456521739</v>
      </c>
      <c r="P1000" s="5"/>
      <c r="Q1000" s="5"/>
      <c r="R1000" s="8">
        <f>1.454*C1000</f>
        <v>153.28340624999998</v>
      </c>
      <c r="S1000" s="9">
        <f>E1000*1.454*0.4</f>
        <v>61.3133625</v>
      </c>
      <c r="T1000" s="9">
        <f>E1000*1.454*0.2</f>
        <v>30.65668125</v>
      </c>
      <c r="U1000" s="9">
        <f>E1000*1.454*0.2</f>
        <v>30.65668125</v>
      </c>
      <c r="V1000" s="9">
        <f>E1000*1.454*0.2</f>
        <v>30.65668125</v>
      </c>
      <c r="W1000" s="9">
        <f>H1000*1.454</f>
        <v>0</v>
      </c>
      <c r="X1000" s="9">
        <f>K1000*1.454</f>
        <v>0</v>
      </c>
      <c r="Y1000" s="4">
        <f t="shared" si="155"/>
        <v>61.3133625</v>
      </c>
    </row>
    <row r="1001" spans="1:25" ht="12.75" customHeight="1" outlineLevel="2">
      <c r="A1001" s="170">
        <v>6</v>
      </c>
      <c r="B1001" s="147" t="s">
        <v>265</v>
      </c>
      <c r="C1001" s="147"/>
      <c r="D1001" s="147"/>
      <c r="E1001" s="147"/>
      <c r="F1001" s="147"/>
      <c r="G1001" s="147"/>
      <c r="H1001" s="147"/>
      <c r="I1001" s="147"/>
      <c r="J1001" s="147"/>
      <c r="K1001" s="147"/>
      <c r="L1001" s="147"/>
      <c r="M1001" s="147"/>
      <c r="N1001" s="147"/>
      <c r="O1001" s="147"/>
      <c r="P1001" s="147"/>
      <c r="Q1001" s="147"/>
      <c r="R1001" s="147"/>
      <c r="S1001" s="147"/>
      <c r="T1001" s="147"/>
      <c r="U1001" s="147"/>
      <c r="V1001" s="147"/>
      <c r="W1001" s="147"/>
      <c r="X1001" s="147"/>
      <c r="Y1001" s="4">
        <f t="shared" si="155"/>
        <v>0</v>
      </c>
    </row>
    <row r="1002" spans="1:25" ht="18" outlineLevel="2">
      <c r="A1002" s="170"/>
      <c r="B1002" s="5">
        <f>D1002+G1002+J1002</f>
        <v>8</v>
      </c>
      <c r="C1002" s="8">
        <f>E1002+H1002+K1002</f>
        <v>49.81333333333332</v>
      </c>
      <c r="D1002" s="5">
        <v>8</v>
      </c>
      <c r="E1002" s="8">
        <f>D1002*FORECAST(D1002,AA$6:AA$7,Z$6:Z$7)</f>
        <v>49.81333333333332</v>
      </c>
      <c r="F1002" s="5" t="s">
        <v>433</v>
      </c>
      <c r="G1002" s="5"/>
      <c r="H1002" s="5"/>
      <c r="I1002" s="5"/>
      <c r="J1002" s="5"/>
      <c r="K1002" s="5"/>
      <c r="L1002" s="5"/>
      <c r="M1002" s="5"/>
      <c r="N1002" s="5">
        <v>100</v>
      </c>
      <c r="O1002" s="8">
        <f>C1002/0.92</f>
        <v>54.14492753623187</v>
      </c>
      <c r="P1002" s="5">
        <v>1</v>
      </c>
      <c r="Q1002" s="5">
        <v>160</v>
      </c>
      <c r="R1002" s="8">
        <f>1.454*C1002</f>
        <v>72.42858666666665</v>
      </c>
      <c r="S1002" s="9">
        <f>E1002*1.454*0.4</f>
        <v>28.97143466666666</v>
      </c>
      <c r="T1002" s="9">
        <f>E1002*1.454*0.2</f>
        <v>14.48571733333333</v>
      </c>
      <c r="U1002" s="9">
        <f>E1002*1.454*0.2</f>
        <v>14.48571733333333</v>
      </c>
      <c r="V1002" s="9">
        <f>E1002*1.454*0.2</f>
        <v>14.48571733333333</v>
      </c>
      <c r="W1002" s="9">
        <f>H1002*1.454</f>
        <v>0</v>
      </c>
      <c r="X1002" s="9">
        <f>K1002*1.454</f>
        <v>0</v>
      </c>
      <c r="Y1002" s="4">
        <f t="shared" si="155"/>
        <v>28.97143466666666</v>
      </c>
    </row>
    <row r="1003" spans="1:25" ht="36" outlineLevel="2">
      <c r="A1003" s="6" t="s">
        <v>431</v>
      </c>
      <c r="B1003" s="7">
        <f>B992+B994+B996+B998+B1000+B1002</f>
        <v>114</v>
      </c>
      <c r="C1003" s="10">
        <f>C992+C994+C996+C998+C1000+C1002</f>
        <v>424.5085416666666</v>
      </c>
      <c r="D1003" s="7">
        <f>D992+D994+D996+D998+D1000+D1002</f>
        <v>114</v>
      </c>
      <c r="E1003" s="10">
        <f>E992+E994+E996+E998+E1000+E1002</f>
        <v>424.5085416666666</v>
      </c>
      <c r="F1003" s="7" t="s">
        <v>433</v>
      </c>
      <c r="G1003" s="7">
        <f>G992+G994+G996+G998+G1000+G1002</f>
        <v>0</v>
      </c>
      <c r="H1003" s="7">
        <f>H992+H994+H996+H998+H1000+H1002</f>
        <v>0</v>
      </c>
      <c r="I1003" s="7" t="s">
        <v>441</v>
      </c>
      <c r="J1003" s="7">
        <f aca="true" t="shared" si="156" ref="J1003:X1003">J992+J994+J996+J998+J1000+J1002</f>
        <v>0</v>
      </c>
      <c r="K1003" s="7">
        <f t="shared" si="156"/>
        <v>0</v>
      </c>
      <c r="L1003" s="7" t="s">
        <v>441</v>
      </c>
      <c r="M1003" s="7">
        <f t="shared" si="156"/>
        <v>100</v>
      </c>
      <c r="N1003" s="7">
        <f t="shared" si="156"/>
        <v>2370</v>
      </c>
      <c r="O1003" s="10">
        <f t="shared" si="156"/>
        <v>461.4223278985507</v>
      </c>
      <c r="P1003" s="7">
        <f t="shared" si="156"/>
        <v>2</v>
      </c>
      <c r="Q1003" s="7">
        <f t="shared" si="156"/>
        <v>560</v>
      </c>
      <c r="R1003" s="10">
        <f t="shared" si="156"/>
        <v>617.2354195833332</v>
      </c>
      <c r="S1003" s="10">
        <f t="shared" si="156"/>
        <v>246.89416783333326</v>
      </c>
      <c r="T1003" s="10">
        <f>T992+T994+T996+T998+T1000+T1002</f>
        <v>123.44708391666663</v>
      </c>
      <c r="U1003" s="10">
        <f t="shared" si="156"/>
        <v>123.44708391666663</v>
      </c>
      <c r="V1003" s="10">
        <f t="shared" si="156"/>
        <v>123.44708391666663</v>
      </c>
      <c r="W1003" s="10">
        <f t="shared" si="156"/>
        <v>0</v>
      </c>
      <c r="X1003" s="10">
        <f t="shared" si="156"/>
        <v>0</v>
      </c>
      <c r="Y1003" s="4">
        <f t="shared" si="155"/>
        <v>246.89416783333326</v>
      </c>
    </row>
    <row r="1004" spans="1:25" ht="12.75" customHeight="1" outlineLevel="2">
      <c r="A1004" s="170">
        <v>1</v>
      </c>
      <c r="B1004" s="162" t="s">
        <v>52</v>
      </c>
      <c r="C1004" s="162"/>
      <c r="D1004" s="162"/>
      <c r="E1004" s="162"/>
      <c r="F1004" s="162"/>
      <c r="G1004" s="162"/>
      <c r="H1004" s="162"/>
      <c r="I1004" s="162"/>
      <c r="J1004" s="162"/>
      <c r="K1004" s="162"/>
      <c r="L1004" s="162"/>
      <c r="M1004" s="162"/>
      <c r="N1004" s="162"/>
      <c r="O1004" s="162"/>
      <c r="P1004" s="162"/>
      <c r="Q1004" s="162"/>
      <c r="R1004" s="162"/>
      <c r="S1004" s="162"/>
      <c r="T1004" s="162"/>
      <c r="U1004" s="162"/>
      <c r="V1004" s="162"/>
      <c r="W1004" s="162"/>
      <c r="X1004" s="162"/>
      <c r="Y1004" s="4">
        <f t="shared" si="155"/>
        <v>0</v>
      </c>
    </row>
    <row r="1005" spans="1:25" ht="18" outlineLevel="2">
      <c r="A1005" s="170"/>
      <c r="B1005" s="5">
        <f>D1005+G1005+J1005</f>
        <v>30</v>
      </c>
      <c r="C1005" s="8">
        <f>E1005+H1005+K1005</f>
        <v>92.73749999999998</v>
      </c>
      <c r="D1005" s="5">
        <v>30</v>
      </c>
      <c r="E1005" s="8">
        <f>D1005*FORECAST(D1005,AA$11:AA$12,Z$11:Z$12)</f>
        <v>92.73749999999998</v>
      </c>
      <c r="F1005" s="5" t="s">
        <v>433</v>
      </c>
      <c r="G1005" s="5"/>
      <c r="H1005" s="5"/>
      <c r="I1005" s="5"/>
      <c r="J1005" s="5"/>
      <c r="K1005" s="5"/>
      <c r="L1005" s="5"/>
      <c r="M1005" s="5"/>
      <c r="N1005" s="5">
        <v>380</v>
      </c>
      <c r="O1005" s="8">
        <f>C1005/0.92</f>
        <v>100.80163043478258</v>
      </c>
      <c r="P1005" s="5"/>
      <c r="Q1005" s="5"/>
      <c r="R1005" s="8">
        <f>1.454*C1005</f>
        <v>134.84032499999998</v>
      </c>
      <c r="S1005" s="9">
        <f>E1005*1.454*0.4</f>
        <v>53.93612999999999</v>
      </c>
      <c r="T1005" s="9">
        <f>E1005*1.454*0.2</f>
        <v>26.968064999999996</v>
      </c>
      <c r="U1005" s="9">
        <f>E1005*1.454*0.2</f>
        <v>26.968064999999996</v>
      </c>
      <c r="V1005" s="9">
        <f>E1005*1.454*0.2</f>
        <v>26.968064999999996</v>
      </c>
      <c r="W1005" s="9">
        <f>H1005*1.454</f>
        <v>0</v>
      </c>
      <c r="X1005" s="9">
        <f>K1005*1.454</f>
        <v>0</v>
      </c>
      <c r="Y1005" s="4">
        <f t="shared" si="155"/>
        <v>53.93612999999999</v>
      </c>
    </row>
    <row r="1006" spans="1:25" ht="12.75" customHeight="1" outlineLevel="2">
      <c r="A1006" s="170">
        <v>2</v>
      </c>
      <c r="B1006" s="162" t="s">
        <v>53</v>
      </c>
      <c r="C1006" s="162"/>
      <c r="D1006" s="162"/>
      <c r="E1006" s="162"/>
      <c r="F1006" s="162"/>
      <c r="G1006" s="162"/>
      <c r="H1006" s="162"/>
      <c r="I1006" s="162"/>
      <c r="J1006" s="162"/>
      <c r="K1006" s="162"/>
      <c r="L1006" s="162"/>
      <c r="M1006" s="162"/>
      <c r="N1006" s="162"/>
      <c r="O1006" s="162"/>
      <c r="P1006" s="162"/>
      <c r="Q1006" s="162"/>
      <c r="R1006" s="162"/>
      <c r="S1006" s="162"/>
      <c r="T1006" s="162"/>
      <c r="U1006" s="162"/>
      <c r="V1006" s="162"/>
      <c r="W1006" s="162"/>
      <c r="X1006" s="162"/>
      <c r="Y1006" s="4">
        <f t="shared" si="155"/>
        <v>0</v>
      </c>
    </row>
    <row r="1007" spans="1:25" ht="18" outlineLevel="2">
      <c r="A1007" s="170"/>
      <c r="B1007" s="5">
        <f>D1007+G1007+J1007</f>
        <v>22</v>
      </c>
      <c r="C1007" s="8">
        <f>E1007+H1007+K1007</f>
        <v>77.88</v>
      </c>
      <c r="D1007" s="5">
        <v>22</v>
      </c>
      <c r="E1007" s="8">
        <f>D1007*FORECAST(D1007,AA$10:AA$11,Z$10:Z$11)</f>
        <v>77.88</v>
      </c>
      <c r="F1007" s="5" t="s">
        <v>433</v>
      </c>
      <c r="G1007" s="5"/>
      <c r="H1007" s="5"/>
      <c r="I1007" s="5"/>
      <c r="J1007" s="5"/>
      <c r="K1007" s="5"/>
      <c r="L1007" s="5"/>
      <c r="M1007" s="5"/>
      <c r="N1007" s="5">
        <v>330</v>
      </c>
      <c r="O1007" s="8">
        <f>C1007/0.92</f>
        <v>84.65217391304347</v>
      </c>
      <c r="P1007" s="5"/>
      <c r="Q1007" s="5"/>
      <c r="R1007" s="8">
        <f>1.454*C1007</f>
        <v>113.23751999999999</v>
      </c>
      <c r="S1007" s="9">
        <f>E1007*1.454*0.4</f>
        <v>45.295007999999996</v>
      </c>
      <c r="T1007" s="9">
        <f>E1007*1.454*0.2</f>
        <v>22.647503999999998</v>
      </c>
      <c r="U1007" s="9">
        <f>E1007*1.454*0.2</f>
        <v>22.647503999999998</v>
      </c>
      <c r="V1007" s="9">
        <f>E1007*1.454*0.2</f>
        <v>22.647503999999998</v>
      </c>
      <c r="W1007" s="9">
        <f>H1007*1.454</f>
        <v>0</v>
      </c>
      <c r="X1007" s="9">
        <f>K1007*1.454</f>
        <v>0</v>
      </c>
      <c r="Y1007" s="4">
        <f t="shared" si="155"/>
        <v>45.295007999999996</v>
      </c>
    </row>
    <row r="1008" spans="1:25" ht="12.75" customHeight="1" outlineLevel="2">
      <c r="A1008" s="170">
        <v>3</v>
      </c>
      <c r="B1008" s="162" t="s">
        <v>54</v>
      </c>
      <c r="C1008" s="162"/>
      <c r="D1008" s="162"/>
      <c r="E1008" s="162"/>
      <c r="F1008" s="162"/>
      <c r="G1008" s="162"/>
      <c r="H1008" s="162"/>
      <c r="I1008" s="162"/>
      <c r="J1008" s="162"/>
      <c r="K1008" s="162"/>
      <c r="L1008" s="162"/>
      <c r="M1008" s="162"/>
      <c r="N1008" s="162"/>
      <c r="O1008" s="162"/>
      <c r="P1008" s="162"/>
      <c r="Q1008" s="162"/>
      <c r="R1008" s="162"/>
      <c r="S1008" s="162"/>
      <c r="T1008" s="162"/>
      <c r="U1008" s="162"/>
      <c r="V1008" s="162"/>
      <c r="W1008" s="162"/>
      <c r="X1008" s="162"/>
      <c r="Y1008" s="4">
        <f t="shared" si="155"/>
        <v>0</v>
      </c>
    </row>
    <row r="1009" spans="1:25" ht="18" outlineLevel="2">
      <c r="A1009" s="170"/>
      <c r="B1009" s="5">
        <f>D1009+G1009+J1009</f>
        <v>22</v>
      </c>
      <c r="C1009" s="8">
        <f>E1009+H1009+K1009</f>
        <v>77.88</v>
      </c>
      <c r="D1009" s="5">
        <v>22</v>
      </c>
      <c r="E1009" s="8">
        <f>D1009*FORECAST(D1009,AA$10:AA$11,Z$10:Z$11)</f>
        <v>77.88</v>
      </c>
      <c r="F1009" s="5" t="s">
        <v>433</v>
      </c>
      <c r="G1009" s="5"/>
      <c r="H1009" s="5"/>
      <c r="I1009" s="5"/>
      <c r="J1009" s="5"/>
      <c r="K1009" s="5"/>
      <c r="L1009" s="5"/>
      <c r="M1009" s="5">
        <v>100</v>
      </c>
      <c r="N1009" s="5">
        <v>330</v>
      </c>
      <c r="O1009" s="8">
        <f>C1009/0.92</f>
        <v>84.65217391304347</v>
      </c>
      <c r="P1009" s="5">
        <v>1</v>
      </c>
      <c r="Q1009" s="5">
        <v>400</v>
      </c>
      <c r="R1009" s="8">
        <f>1.454*C1009</f>
        <v>113.23751999999999</v>
      </c>
      <c r="S1009" s="9">
        <f>E1009*1.454*0.4</f>
        <v>45.295007999999996</v>
      </c>
      <c r="T1009" s="9">
        <f>E1009*1.454*0.2</f>
        <v>22.647503999999998</v>
      </c>
      <c r="U1009" s="9">
        <f>E1009*1.454*0.2</f>
        <v>22.647503999999998</v>
      </c>
      <c r="V1009" s="9">
        <f>E1009*1.454*0.2</f>
        <v>22.647503999999998</v>
      </c>
      <c r="W1009" s="9">
        <f>H1009*1.454</f>
        <v>0</v>
      </c>
      <c r="X1009" s="9">
        <f>K1009*1.454</f>
        <v>0</v>
      </c>
      <c r="Y1009" s="4">
        <f t="shared" si="155"/>
        <v>45.295007999999996</v>
      </c>
    </row>
    <row r="1010" spans="1:25" ht="12.75" customHeight="1" outlineLevel="2">
      <c r="A1010" s="170">
        <v>4</v>
      </c>
      <c r="B1010" s="162" t="s">
        <v>55</v>
      </c>
      <c r="C1010" s="162"/>
      <c r="D1010" s="162"/>
      <c r="E1010" s="162"/>
      <c r="F1010" s="162"/>
      <c r="G1010" s="162"/>
      <c r="H1010" s="162"/>
      <c r="I1010" s="162"/>
      <c r="J1010" s="162"/>
      <c r="K1010" s="162"/>
      <c r="L1010" s="162"/>
      <c r="M1010" s="162"/>
      <c r="N1010" s="162"/>
      <c r="O1010" s="162"/>
      <c r="P1010" s="162"/>
      <c r="Q1010" s="162"/>
      <c r="R1010" s="162"/>
      <c r="S1010" s="162"/>
      <c r="T1010" s="162"/>
      <c r="U1010" s="162"/>
      <c r="V1010" s="162"/>
      <c r="W1010" s="162"/>
      <c r="X1010" s="162"/>
      <c r="Y1010" s="4">
        <f t="shared" si="155"/>
        <v>0</v>
      </c>
    </row>
    <row r="1011" spans="1:25" ht="18" outlineLevel="2">
      <c r="A1011" s="170"/>
      <c r="B1011" s="5">
        <f>D1011+G1011+J1011</f>
        <v>22</v>
      </c>
      <c r="C1011" s="8">
        <f>E1011+H1011+K1011</f>
        <v>77.88</v>
      </c>
      <c r="D1011" s="5">
        <v>22</v>
      </c>
      <c r="E1011" s="8">
        <f>D1011*FORECAST(D1011,AA$10:AA$11,Z$10:Z$11)</f>
        <v>77.88</v>
      </c>
      <c r="F1011" s="5" t="s">
        <v>433</v>
      </c>
      <c r="G1011" s="5"/>
      <c r="H1011" s="5"/>
      <c r="I1011" s="5"/>
      <c r="J1011" s="5"/>
      <c r="K1011" s="5"/>
      <c r="L1011" s="5"/>
      <c r="M1011" s="5"/>
      <c r="N1011" s="5">
        <v>330</v>
      </c>
      <c r="O1011" s="8">
        <f>C1011/0.92</f>
        <v>84.65217391304347</v>
      </c>
      <c r="P1011" s="5"/>
      <c r="Q1011" s="5"/>
      <c r="R1011" s="8">
        <f>1.454*C1011</f>
        <v>113.23751999999999</v>
      </c>
      <c r="S1011" s="9">
        <f>E1011*1.454*0.4</f>
        <v>45.295007999999996</v>
      </c>
      <c r="T1011" s="9">
        <f>E1011*1.454*0.2</f>
        <v>22.647503999999998</v>
      </c>
      <c r="U1011" s="9">
        <f>E1011*1.454*0.2</f>
        <v>22.647503999999998</v>
      </c>
      <c r="V1011" s="9">
        <f>E1011*1.454*0.2</f>
        <v>22.647503999999998</v>
      </c>
      <c r="W1011" s="9">
        <f>H1011*1.454</f>
        <v>0</v>
      </c>
      <c r="X1011" s="9">
        <f>K1011*1.454</f>
        <v>0</v>
      </c>
      <c r="Y1011" s="4">
        <f t="shared" si="155"/>
        <v>45.295007999999996</v>
      </c>
    </row>
    <row r="1012" spans="1:25" ht="12.75" customHeight="1" outlineLevel="2">
      <c r="A1012" s="170">
        <v>5</v>
      </c>
      <c r="B1012" s="162" t="s">
        <v>56</v>
      </c>
      <c r="C1012" s="162"/>
      <c r="D1012" s="162"/>
      <c r="E1012" s="162"/>
      <c r="F1012" s="162"/>
      <c r="G1012" s="162"/>
      <c r="H1012" s="162"/>
      <c r="I1012" s="162"/>
      <c r="J1012" s="162"/>
      <c r="K1012" s="162"/>
      <c r="L1012" s="162"/>
      <c r="M1012" s="162"/>
      <c r="N1012" s="162"/>
      <c r="O1012" s="162"/>
      <c r="P1012" s="162"/>
      <c r="Q1012" s="162"/>
      <c r="R1012" s="162"/>
      <c r="S1012" s="162"/>
      <c r="T1012" s="162"/>
      <c r="U1012" s="162"/>
      <c r="V1012" s="162"/>
      <c r="W1012" s="162"/>
      <c r="X1012" s="162"/>
      <c r="Y1012" s="4">
        <f t="shared" si="155"/>
        <v>0</v>
      </c>
    </row>
    <row r="1013" spans="1:25" ht="18" outlineLevel="2">
      <c r="A1013" s="170"/>
      <c r="B1013" s="5">
        <f>D1013+G1013+J1013</f>
        <v>24</v>
      </c>
      <c r="C1013" s="5">
        <f>E1013+H1013+K1013</f>
        <v>80.39999999999999</v>
      </c>
      <c r="D1013" s="5">
        <v>24</v>
      </c>
      <c r="E1013" s="8">
        <f>D1013*FORECAST(D1013,AA$10:AA$11,Z$10:Z$11)</f>
        <v>80.39999999999999</v>
      </c>
      <c r="F1013" s="5" t="s">
        <v>433</v>
      </c>
      <c r="G1013" s="5"/>
      <c r="H1013" s="5"/>
      <c r="I1013" s="5"/>
      <c r="J1013" s="5"/>
      <c r="K1013" s="5"/>
      <c r="L1013" s="5"/>
      <c r="M1013" s="5"/>
      <c r="N1013" s="5">
        <v>350</v>
      </c>
      <c r="O1013" s="8">
        <f>C1013/0.92</f>
        <v>87.39130434782608</v>
      </c>
      <c r="P1013" s="5">
        <v>1</v>
      </c>
      <c r="Q1013" s="5"/>
      <c r="R1013" s="8">
        <f>1.454*C1013</f>
        <v>116.90159999999999</v>
      </c>
      <c r="S1013" s="9">
        <f>E1013*1.454*0.4</f>
        <v>46.760639999999995</v>
      </c>
      <c r="T1013" s="9">
        <f>E1013*1.454*0.2</f>
        <v>23.380319999999998</v>
      </c>
      <c r="U1013" s="9">
        <f>E1013*1.454*0.2</f>
        <v>23.380319999999998</v>
      </c>
      <c r="V1013" s="9">
        <f>E1013*1.454*0.2</f>
        <v>23.380319999999998</v>
      </c>
      <c r="W1013" s="9">
        <f>H1013*1.454</f>
        <v>0</v>
      </c>
      <c r="X1013" s="9">
        <f>K1013*1.454</f>
        <v>0</v>
      </c>
      <c r="Y1013" s="4">
        <f t="shared" si="155"/>
        <v>46.760639999999995</v>
      </c>
    </row>
    <row r="1014" spans="1:25" ht="36" outlineLevel="2">
      <c r="A1014" s="6" t="s">
        <v>431</v>
      </c>
      <c r="B1014" s="7">
        <f>B1005+B1007+B1009+B1011+B1013</f>
        <v>120</v>
      </c>
      <c r="C1014" s="10">
        <f>C1005+C1007+C1009+C1011+C1013</f>
        <v>406.7774999999999</v>
      </c>
      <c r="D1014" s="7">
        <f>D1005+D1007+D1009+D1011+D1013</f>
        <v>120</v>
      </c>
      <c r="E1014" s="10">
        <f>E1005+E1007+E1009+E1011+E1013</f>
        <v>406.7774999999999</v>
      </c>
      <c r="F1014" s="7" t="s">
        <v>433</v>
      </c>
      <c r="G1014" s="7">
        <f>G1005+G1007+G1009+G1011+G1013</f>
        <v>0</v>
      </c>
      <c r="H1014" s="7">
        <f>H1005+H1007+H1009+H1011+H1013</f>
        <v>0</v>
      </c>
      <c r="I1014" s="7" t="s">
        <v>441</v>
      </c>
      <c r="J1014" s="7">
        <f aca="true" t="shared" si="157" ref="J1014:X1014">J1005+J1007+J1009+J1011+J1013</f>
        <v>0</v>
      </c>
      <c r="K1014" s="7">
        <f t="shared" si="157"/>
        <v>0</v>
      </c>
      <c r="L1014" s="7" t="s">
        <v>441</v>
      </c>
      <c r="M1014" s="7">
        <f t="shared" si="157"/>
        <v>100</v>
      </c>
      <c r="N1014" s="7">
        <f t="shared" si="157"/>
        <v>1720</v>
      </c>
      <c r="O1014" s="10">
        <f t="shared" si="157"/>
        <v>442.14945652173907</v>
      </c>
      <c r="P1014" s="7">
        <f t="shared" si="157"/>
        <v>2</v>
      </c>
      <c r="Q1014" s="7">
        <f t="shared" si="157"/>
        <v>400</v>
      </c>
      <c r="R1014" s="10">
        <f t="shared" si="157"/>
        <v>591.454485</v>
      </c>
      <c r="S1014" s="10">
        <f t="shared" si="157"/>
        <v>236.58179399999997</v>
      </c>
      <c r="T1014" s="10">
        <f t="shared" si="157"/>
        <v>118.29089699999999</v>
      </c>
      <c r="U1014" s="10">
        <f t="shared" si="157"/>
        <v>118.29089699999999</v>
      </c>
      <c r="V1014" s="10">
        <f t="shared" si="157"/>
        <v>118.29089699999999</v>
      </c>
      <c r="W1014" s="10">
        <f t="shared" si="157"/>
        <v>0</v>
      </c>
      <c r="X1014" s="10">
        <f t="shared" si="157"/>
        <v>0</v>
      </c>
      <c r="Y1014" s="4">
        <f t="shared" si="155"/>
        <v>236.58179399999997</v>
      </c>
    </row>
    <row r="1015" spans="1:25" ht="12.75" customHeight="1" outlineLevel="2">
      <c r="A1015" s="170">
        <v>1</v>
      </c>
      <c r="B1015" s="162" t="s">
        <v>68</v>
      </c>
      <c r="C1015" s="162"/>
      <c r="D1015" s="162"/>
      <c r="E1015" s="162"/>
      <c r="F1015" s="162"/>
      <c r="G1015" s="162"/>
      <c r="H1015" s="162"/>
      <c r="I1015" s="162"/>
      <c r="J1015" s="162"/>
      <c r="K1015" s="162"/>
      <c r="L1015" s="162"/>
      <c r="M1015" s="162"/>
      <c r="N1015" s="162"/>
      <c r="O1015" s="162"/>
      <c r="P1015" s="162"/>
      <c r="Q1015" s="162"/>
      <c r="R1015" s="162"/>
      <c r="S1015" s="162"/>
      <c r="T1015" s="162"/>
      <c r="U1015" s="162"/>
      <c r="V1015" s="162"/>
      <c r="W1015" s="162"/>
      <c r="X1015" s="162"/>
      <c r="Y1015" s="4">
        <f t="shared" si="155"/>
        <v>0</v>
      </c>
    </row>
    <row r="1016" spans="1:25" ht="18" outlineLevel="2">
      <c r="A1016" s="170"/>
      <c r="B1016" s="5">
        <f>D1016+G1016+J1016</f>
        <v>50</v>
      </c>
      <c r="C1016" s="8">
        <f>E1016+H1016+K1016</f>
        <v>126</v>
      </c>
      <c r="D1016" s="5">
        <v>50</v>
      </c>
      <c r="E1016" s="8">
        <f>D1016*FORECAST(D1016,AA$12:AA$13,Z$12:Z$13)</f>
        <v>126</v>
      </c>
      <c r="F1016" s="5" t="s">
        <v>433</v>
      </c>
      <c r="G1016" s="5"/>
      <c r="H1016" s="5"/>
      <c r="I1016" s="5"/>
      <c r="J1016" s="5"/>
      <c r="K1016" s="5"/>
      <c r="L1016" s="5"/>
      <c r="M1016" s="5">
        <v>200</v>
      </c>
      <c r="N1016" s="5">
        <v>800</v>
      </c>
      <c r="O1016" s="8">
        <f>C1016/0.92</f>
        <v>136.95652173913044</v>
      </c>
      <c r="P1016" s="5">
        <v>1</v>
      </c>
      <c r="Q1016" s="5">
        <v>160</v>
      </c>
      <c r="R1016" s="8">
        <f>1.454*C1016</f>
        <v>183.204</v>
      </c>
      <c r="S1016" s="9">
        <f>E1016*1.454*0.4</f>
        <v>73.28160000000001</v>
      </c>
      <c r="T1016" s="9">
        <f>E1016*1.454*0.2</f>
        <v>36.640800000000006</v>
      </c>
      <c r="U1016" s="9">
        <f>E1016*1.454*0.2</f>
        <v>36.640800000000006</v>
      </c>
      <c r="V1016" s="9">
        <f>E1016*1.454*0.2</f>
        <v>36.640800000000006</v>
      </c>
      <c r="W1016" s="9">
        <f>H1016*1.454</f>
        <v>0</v>
      </c>
      <c r="X1016" s="9">
        <f>K1016*1.454</f>
        <v>0</v>
      </c>
      <c r="Y1016" s="4">
        <f t="shared" si="155"/>
        <v>73.28160000000001</v>
      </c>
    </row>
    <row r="1017" spans="1:25" ht="12.75" customHeight="1" outlineLevel="2">
      <c r="A1017" s="170">
        <v>2</v>
      </c>
      <c r="B1017" s="162" t="s">
        <v>69</v>
      </c>
      <c r="C1017" s="162"/>
      <c r="D1017" s="162"/>
      <c r="E1017" s="162"/>
      <c r="F1017" s="162"/>
      <c r="G1017" s="162"/>
      <c r="H1017" s="162"/>
      <c r="I1017" s="162"/>
      <c r="J1017" s="162"/>
      <c r="K1017" s="162"/>
      <c r="L1017" s="162"/>
      <c r="M1017" s="162"/>
      <c r="N1017" s="162"/>
      <c r="O1017" s="162"/>
      <c r="P1017" s="162"/>
      <c r="Q1017" s="162"/>
      <c r="R1017" s="162"/>
      <c r="S1017" s="162"/>
      <c r="T1017" s="162"/>
      <c r="U1017" s="162"/>
      <c r="V1017" s="162"/>
      <c r="W1017" s="162"/>
      <c r="X1017" s="162"/>
      <c r="Y1017" s="4">
        <f t="shared" si="155"/>
        <v>0</v>
      </c>
    </row>
    <row r="1018" spans="1:25" ht="18" outlineLevel="2">
      <c r="A1018" s="170"/>
      <c r="B1018" s="5">
        <f>D1018+G1018+J1018</f>
        <v>50</v>
      </c>
      <c r="C1018" s="8">
        <f>E1018+H1018+K1018</f>
        <v>126</v>
      </c>
      <c r="D1018" s="5">
        <v>50</v>
      </c>
      <c r="E1018" s="8">
        <f>D1018*FORECAST(D1018,AA$12:AA$13,Z$12:Z$13)</f>
        <v>126</v>
      </c>
      <c r="F1018" s="5" t="s">
        <v>433</v>
      </c>
      <c r="G1018" s="5"/>
      <c r="H1018" s="5"/>
      <c r="I1018" s="5"/>
      <c r="J1018" s="5"/>
      <c r="K1018" s="5"/>
      <c r="L1018" s="5"/>
      <c r="M1018" s="5">
        <v>200</v>
      </c>
      <c r="N1018" s="5">
        <v>800</v>
      </c>
      <c r="O1018" s="8">
        <f>C1018/0.92</f>
        <v>136.95652173913044</v>
      </c>
      <c r="P1018" s="5">
        <v>1</v>
      </c>
      <c r="Q1018" s="5">
        <v>160</v>
      </c>
      <c r="R1018" s="8">
        <f>1.454*C1018</f>
        <v>183.204</v>
      </c>
      <c r="S1018" s="9">
        <f>E1018*1.454*0.4</f>
        <v>73.28160000000001</v>
      </c>
      <c r="T1018" s="9">
        <f>E1018*1.454*0.2</f>
        <v>36.640800000000006</v>
      </c>
      <c r="U1018" s="9">
        <f>E1018*1.454*0.2</f>
        <v>36.640800000000006</v>
      </c>
      <c r="V1018" s="9">
        <f>E1018*1.454*0.2</f>
        <v>36.640800000000006</v>
      </c>
      <c r="W1018" s="9">
        <f>H1018*1.454</f>
        <v>0</v>
      </c>
      <c r="X1018" s="9">
        <f>K1018*1.454</f>
        <v>0</v>
      </c>
      <c r="Y1018" s="4">
        <f t="shared" si="155"/>
        <v>73.28160000000001</v>
      </c>
    </row>
    <row r="1019" spans="1:25" ht="12.75" customHeight="1" outlineLevel="2">
      <c r="A1019" s="170">
        <v>3</v>
      </c>
      <c r="B1019" s="162" t="s">
        <v>70</v>
      </c>
      <c r="C1019" s="162"/>
      <c r="D1019" s="162"/>
      <c r="E1019" s="162"/>
      <c r="F1019" s="162"/>
      <c r="G1019" s="162"/>
      <c r="H1019" s="162"/>
      <c r="I1019" s="162"/>
      <c r="J1019" s="162"/>
      <c r="K1019" s="162"/>
      <c r="L1019" s="162"/>
      <c r="M1019" s="162"/>
      <c r="N1019" s="162"/>
      <c r="O1019" s="162"/>
      <c r="P1019" s="162"/>
      <c r="Q1019" s="162"/>
      <c r="R1019" s="162"/>
      <c r="S1019" s="162"/>
      <c r="T1019" s="162"/>
      <c r="U1019" s="162"/>
      <c r="V1019" s="162"/>
      <c r="W1019" s="162"/>
      <c r="X1019" s="162"/>
      <c r="Y1019" s="4">
        <f t="shared" si="155"/>
        <v>0</v>
      </c>
    </row>
    <row r="1020" spans="1:25" ht="18" outlineLevel="2">
      <c r="A1020" s="170"/>
      <c r="B1020" s="5">
        <f>D1020+G1020+J1020</f>
        <v>50</v>
      </c>
      <c r="C1020" s="8">
        <f>E1020+H1020+K1020</f>
        <v>126</v>
      </c>
      <c r="D1020" s="5">
        <v>50</v>
      </c>
      <c r="E1020" s="8">
        <f>D1020*FORECAST(D1020,AA$12:AA$13,Z$12:Z$13)</f>
        <v>126</v>
      </c>
      <c r="F1020" s="5" t="s">
        <v>433</v>
      </c>
      <c r="G1020" s="5"/>
      <c r="H1020" s="5"/>
      <c r="I1020" s="5"/>
      <c r="J1020" s="5"/>
      <c r="K1020" s="5"/>
      <c r="L1020" s="5"/>
      <c r="M1020" s="5">
        <v>200</v>
      </c>
      <c r="N1020" s="5">
        <v>800</v>
      </c>
      <c r="O1020" s="8">
        <f>C1020/0.92</f>
        <v>136.95652173913044</v>
      </c>
      <c r="P1020" s="5">
        <v>1</v>
      </c>
      <c r="Q1020" s="5">
        <v>160</v>
      </c>
      <c r="R1020" s="8">
        <f>1.454*C1020</f>
        <v>183.204</v>
      </c>
      <c r="S1020" s="9">
        <f>E1020*1.454*0.4</f>
        <v>73.28160000000001</v>
      </c>
      <c r="T1020" s="9">
        <f>E1020*1.454*0.2</f>
        <v>36.640800000000006</v>
      </c>
      <c r="U1020" s="9">
        <f>E1020*1.454*0.2</f>
        <v>36.640800000000006</v>
      </c>
      <c r="V1020" s="9">
        <f>E1020*1.454*0.2</f>
        <v>36.640800000000006</v>
      </c>
      <c r="W1020" s="9">
        <f>H1020*1.454</f>
        <v>0</v>
      </c>
      <c r="X1020" s="9">
        <f>K1020*1.454</f>
        <v>0</v>
      </c>
      <c r="Y1020" s="4">
        <f t="shared" si="155"/>
        <v>73.28160000000001</v>
      </c>
    </row>
    <row r="1021" spans="1:25" ht="36" outlineLevel="2">
      <c r="A1021" s="6" t="s">
        <v>431</v>
      </c>
      <c r="B1021" s="7">
        <f>B1016+B1018+B1020</f>
        <v>150</v>
      </c>
      <c r="C1021" s="10">
        <f>C1016+C1018+C1020</f>
        <v>378</v>
      </c>
      <c r="D1021" s="7">
        <f>D1016+D1018+D1020</f>
        <v>150</v>
      </c>
      <c r="E1021" s="10">
        <f>E1016+E1018+E1020</f>
        <v>378</v>
      </c>
      <c r="F1021" s="7" t="s">
        <v>433</v>
      </c>
      <c r="G1021" s="7">
        <f>G1016+G1018+G1020</f>
        <v>0</v>
      </c>
      <c r="H1021" s="7">
        <f>H1016+H1018+H1020</f>
        <v>0</v>
      </c>
      <c r="I1021" s="7" t="s">
        <v>441</v>
      </c>
      <c r="J1021" s="7">
        <f>J1016+J1018+J1020</f>
        <v>0</v>
      </c>
      <c r="K1021" s="7">
        <f>K1016+K1018+K1020</f>
        <v>0</v>
      </c>
      <c r="L1021" s="7" t="s">
        <v>441</v>
      </c>
      <c r="M1021" s="7">
        <f aca="true" t="shared" si="158" ref="M1021:X1021">M1016+M1018+M1020</f>
        <v>600</v>
      </c>
      <c r="N1021" s="7">
        <f t="shared" si="158"/>
        <v>2400</v>
      </c>
      <c r="O1021" s="10">
        <f t="shared" si="158"/>
        <v>410.8695652173913</v>
      </c>
      <c r="P1021" s="7">
        <f t="shared" si="158"/>
        <v>3</v>
      </c>
      <c r="Q1021" s="7">
        <f t="shared" si="158"/>
        <v>480</v>
      </c>
      <c r="R1021" s="10">
        <f t="shared" si="158"/>
        <v>549.6120000000001</v>
      </c>
      <c r="S1021" s="10">
        <f t="shared" si="158"/>
        <v>219.84480000000002</v>
      </c>
      <c r="T1021" s="10">
        <f t="shared" si="158"/>
        <v>109.92240000000001</v>
      </c>
      <c r="U1021" s="10">
        <f t="shared" si="158"/>
        <v>109.92240000000001</v>
      </c>
      <c r="V1021" s="10">
        <f t="shared" si="158"/>
        <v>109.92240000000001</v>
      </c>
      <c r="W1021" s="10">
        <f t="shared" si="158"/>
        <v>0</v>
      </c>
      <c r="X1021" s="10">
        <f t="shared" si="158"/>
        <v>0</v>
      </c>
      <c r="Y1021" s="4">
        <f t="shared" si="155"/>
        <v>219.84480000000002</v>
      </c>
    </row>
    <row r="1022" spans="1:25" ht="12.75" customHeight="1" outlineLevel="2">
      <c r="A1022" s="170">
        <v>1</v>
      </c>
      <c r="B1022" s="162" t="s">
        <v>266</v>
      </c>
      <c r="C1022" s="162"/>
      <c r="D1022" s="162"/>
      <c r="E1022" s="162"/>
      <c r="F1022" s="162"/>
      <c r="G1022" s="162"/>
      <c r="H1022" s="162"/>
      <c r="I1022" s="162"/>
      <c r="J1022" s="162"/>
      <c r="K1022" s="162"/>
      <c r="L1022" s="162"/>
      <c r="M1022" s="162"/>
      <c r="N1022" s="162"/>
      <c r="O1022" s="162"/>
      <c r="P1022" s="162"/>
      <c r="Q1022" s="162"/>
      <c r="R1022" s="162"/>
      <c r="S1022" s="162"/>
      <c r="T1022" s="162"/>
      <c r="U1022" s="162"/>
      <c r="V1022" s="162"/>
      <c r="W1022" s="162"/>
      <c r="X1022" s="162"/>
      <c r="Y1022" s="4">
        <f t="shared" si="155"/>
        <v>0</v>
      </c>
    </row>
    <row r="1023" spans="1:25" ht="18" outlineLevel="2">
      <c r="A1023" s="170"/>
      <c r="B1023" s="5">
        <f>D1023+G1023+J1023</f>
        <v>50</v>
      </c>
      <c r="C1023" s="8">
        <f>E1023+H1023+K1023</f>
        <v>126</v>
      </c>
      <c r="D1023" s="5">
        <v>50</v>
      </c>
      <c r="E1023" s="8">
        <f>D1023*FORECAST(D1023,AA$12:AA$13,Z$12:Z$13)</f>
        <v>126</v>
      </c>
      <c r="F1023" s="5" t="s">
        <v>433</v>
      </c>
      <c r="G1023" s="5"/>
      <c r="H1023" s="5"/>
      <c r="I1023" s="5"/>
      <c r="J1023" s="5"/>
      <c r="K1023" s="5"/>
      <c r="L1023" s="5"/>
      <c r="M1023" s="5">
        <v>200</v>
      </c>
      <c r="N1023" s="5">
        <v>800</v>
      </c>
      <c r="O1023" s="8">
        <f>C1023/0.92</f>
        <v>136.95652173913044</v>
      </c>
      <c r="P1023" s="5">
        <v>1</v>
      </c>
      <c r="Q1023" s="5">
        <v>160</v>
      </c>
      <c r="R1023" s="8">
        <f>1.454*C1023</f>
        <v>183.204</v>
      </c>
      <c r="S1023" s="9">
        <f>E1023*1.454*0.4</f>
        <v>73.28160000000001</v>
      </c>
      <c r="T1023" s="9">
        <f>E1023*1.454*0.2</f>
        <v>36.640800000000006</v>
      </c>
      <c r="U1023" s="9">
        <f>E1023*1.454*0.2</f>
        <v>36.640800000000006</v>
      </c>
      <c r="V1023" s="9">
        <f>E1023*1.454*0.2</f>
        <v>36.640800000000006</v>
      </c>
      <c r="W1023" s="9">
        <f>H1023*1.454</f>
        <v>0</v>
      </c>
      <c r="X1023" s="9">
        <f>K1023*1.454</f>
        <v>0</v>
      </c>
      <c r="Y1023" s="4">
        <f t="shared" si="155"/>
        <v>73.28160000000001</v>
      </c>
    </row>
    <row r="1024" spans="1:25" ht="12.75" customHeight="1" outlineLevel="2">
      <c r="A1024" s="170">
        <v>1</v>
      </c>
      <c r="B1024" s="162" t="s">
        <v>267</v>
      </c>
      <c r="C1024" s="162"/>
      <c r="D1024" s="162"/>
      <c r="E1024" s="162"/>
      <c r="F1024" s="162"/>
      <c r="G1024" s="162"/>
      <c r="H1024" s="162"/>
      <c r="I1024" s="162"/>
      <c r="J1024" s="162"/>
      <c r="K1024" s="162"/>
      <c r="L1024" s="162"/>
      <c r="M1024" s="162"/>
      <c r="N1024" s="162"/>
      <c r="O1024" s="162"/>
      <c r="P1024" s="162"/>
      <c r="Q1024" s="162"/>
      <c r="R1024" s="162"/>
      <c r="S1024" s="162"/>
      <c r="T1024" s="162"/>
      <c r="U1024" s="162"/>
      <c r="V1024" s="162"/>
      <c r="W1024" s="162"/>
      <c r="X1024" s="162"/>
      <c r="Y1024" s="4">
        <f t="shared" si="155"/>
        <v>0</v>
      </c>
    </row>
    <row r="1025" spans="1:25" ht="18" outlineLevel="2">
      <c r="A1025" s="170"/>
      <c r="B1025" s="5">
        <f>D1025+G1025+J1025</f>
        <v>50</v>
      </c>
      <c r="C1025" s="8">
        <f>E1025+H1025+K1025</f>
        <v>126</v>
      </c>
      <c r="D1025" s="5">
        <v>50</v>
      </c>
      <c r="E1025" s="8">
        <f>D1025*FORECAST(D1025,AA$12:AA$13,Z$12:Z$13)</f>
        <v>126</v>
      </c>
      <c r="F1025" s="5" t="s">
        <v>433</v>
      </c>
      <c r="G1025" s="5"/>
      <c r="H1025" s="5"/>
      <c r="I1025" s="5"/>
      <c r="J1025" s="5"/>
      <c r="K1025" s="5"/>
      <c r="L1025" s="5"/>
      <c r="M1025" s="5">
        <v>200</v>
      </c>
      <c r="N1025" s="5">
        <v>800</v>
      </c>
      <c r="O1025" s="8">
        <f>C1025/0.92</f>
        <v>136.95652173913044</v>
      </c>
      <c r="P1025" s="5">
        <v>1</v>
      </c>
      <c r="Q1025" s="5">
        <v>160</v>
      </c>
      <c r="R1025" s="8">
        <f>1.454*C1025</f>
        <v>183.204</v>
      </c>
      <c r="S1025" s="9">
        <f>E1025*1.454*0.4</f>
        <v>73.28160000000001</v>
      </c>
      <c r="T1025" s="9">
        <f>E1025*1.454*0.2</f>
        <v>36.640800000000006</v>
      </c>
      <c r="U1025" s="9">
        <f>E1025*1.454*0.2</f>
        <v>36.640800000000006</v>
      </c>
      <c r="V1025" s="9">
        <f>E1025*1.454*0.2</f>
        <v>36.640800000000006</v>
      </c>
      <c r="W1025" s="9">
        <f>H1025*1.454</f>
        <v>0</v>
      </c>
      <c r="X1025" s="9">
        <f>K1025*1.454</f>
        <v>0</v>
      </c>
      <c r="Y1025" s="4">
        <f t="shared" si="155"/>
        <v>73.28160000000001</v>
      </c>
    </row>
    <row r="1026" spans="1:25" ht="12.75" customHeight="1" outlineLevel="2">
      <c r="A1026" s="170">
        <v>1</v>
      </c>
      <c r="B1026" s="162" t="s">
        <v>268</v>
      </c>
      <c r="C1026" s="162"/>
      <c r="D1026" s="162"/>
      <c r="E1026" s="162"/>
      <c r="F1026" s="162"/>
      <c r="G1026" s="162"/>
      <c r="H1026" s="162"/>
      <c r="I1026" s="162"/>
      <c r="J1026" s="162"/>
      <c r="K1026" s="162"/>
      <c r="L1026" s="162"/>
      <c r="M1026" s="162"/>
      <c r="N1026" s="162"/>
      <c r="O1026" s="162"/>
      <c r="P1026" s="162"/>
      <c r="Q1026" s="162"/>
      <c r="R1026" s="162"/>
      <c r="S1026" s="162"/>
      <c r="T1026" s="162"/>
      <c r="U1026" s="162"/>
      <c r="V1026" s="162"/>
      <c r="W1026" s="162"/>
      <c r="X1026" s="162"/>
      <c r="Y1026" s="4">
        <f t="shared" si="155"/>
        <v>0</v>
      </c>
    </row>
    <row r="1027" spans="1:25" ht="18" outlineLevel="2">
      <c r="A1027" s="170"/>
      <c r="B1027" s="5">
        <f>D1027+G1027+J1027</f>
        <v>60</v>
      </c>
      <c r="C1027" s="5">
        <f>E1027+H1027+K1027</f>
        <v>142.79999999999998</v>
      </c>
      <c r="D1027" s="5">
        <v>60</v>
      </c>
      <c r="E1027" s="8">
        <f>D1027*FORECAST(D1027,AA$12:AA$13,Z$12:Z$13)</f>
        <v>142.79999999999998</v>
      </c>
      <c r="F1027" s="5" t="s">
        <v>433</v>
      </c>
      <c r="G1027" s="5"/>
      <c r="H1027" s="5"/>
      <c r="I1027" s="5"/>
      <c r="J1027" s="5"/>
      <c r="K1027" s="5"/>
      <c r="L1027" s="5"/>
      <c r="M1027" s="5">
        <v>100</v>
      </c>
      <c r="N1027" s="5">
        <v>2400</v>
      </c>
      <c r="O1027" s="8">
        <f>C1027/0.92</f>
        <v>155.2173913043478</v>
      </c>
      <c r="P1027" s="5">
        <v>1</v>
      </c>
      <c r="Q1027" s="5">
        <v>250</v>
      </c>
      <c r="R1027" s="8">
        <f>1.454*C1027</f>
        <v>207.63119999999998</v>
      </c>
      <c r="S1027" s="9">
        <f>E1027*1.454*0.4</f>
        <v>83.05248</v>
      </c>
      <c r="T1027" s="9">
        <f>E1027*1.454*0.2</f>
        <v>41.52624</v>
      </c>
      <c r="U1027" s="9">
        <f>E1027*1.454*0.2</f>
        <v>41.52624</v>
      </c>
      <c r="V1027" s="9">
        <f>E1027*1.454*0.2</f>
        <v>41.52624</v>
      </c>
      <c r="W1027" s="9">
        <f>H1027*1.454</f>
        <v>0</v>
      </c>
      <c r="X1027" s="9">
        <f>K1027*1.454</f>
        <v>0</v>
      </c>
      <c r="Y1027" s="4">
        <f t="shared" si="155"/>
        <v>83.05248</v>
      </c>
    </row>
    <row r="1028" spans="1:25" ht="12.75" customHeight="1" outlineLevel="2">
      <c r="A1028" s="170">
        <v>2</v>
      </c>
      <c r="B1028" s="162" t="s">
        <v>269</v>
      </c>
      <c r="C1028" s="162"/>
      <c r="D1028" s="162"/>
      <c r="E1028" s="162"/>
      <c r="F1028" s="162"/>
      <c r="G1028" s="162"/>
      <c r="H1028" s="162"/>
      <c r="I1028" s="162"/>
      <c r="J1028" s="162"/>
      <c r="K1028" s="162"/>
      <c r="L1028" s="162"/>
      <c r="M1028" s="162"/>
      <c r="N1028" s="162"/>
      <c r="O1028" s="162"/>
      <c r="P1028" s="162"/>
      <c r="Q1028" s="162"/>
      <c r="R1028" s="162"/>
      <c r="S1028" s="162"/>
      <c r="T1028" s="162"/>
      <c r="U1028" s="162"/>
      <c r="V1028" s="162"/>
      <c r="W1028" s="162"/>
      <c r="X1028" s="162"/>
      <c r="Y1028" s="4">
        <f t="shared" si="155"/>
        <v>0</v>
      </c>
    </row>
    <row r="1029" spans="1:25" ht="18" outlineLevel="2">
      <c r="A1029" s="170"/>
      <c r="B1029" s="5">
        <f>D1029+G1029+J1029</f>
        <v>117</v>
      </c>
      <c r="C1029" s="8">
        <f>E1029+H1029+K1029</f>
        <v>248.74200000000005</v>
      </c>
      <c r="D1029" s="5">
        <v>117</v>
      </c>
      <c r="E1029" s="8">
        <f>D1029*FORECAST(D1029,AA$14:AA$15,Z$14:Z$15)</f>
        <v>248.74200000000005</v>
      </c>
      <c r="F1029" s="5" t="s">
        <v>433</v>
      </c>
      <c r="G1029" s="5"/>
      <c r="H1029" s="5"/>
      <c r="I1029" s="5"/>
      <c r="J1029" s="5"/>
      <c r="K1029" s="5"/>
      <c r="L1029" s="5"/>
      <c r="M1029" s="5">
        <v>150</v>
      </c>
      <c r="N1029" s="5">
        <v>1000</v>
      </c>
      <c r="O1029" s="8">
        <f>C1029/0.92</f>
        <v>270.37173913043483</v>
      </c>
      <c r="P1029" s="5">
        <v>1</v>
      </c>
      <c r="Q1029" s="5">
        <v>400</v>
      </c>
      <c r="R1029" s="8">
        <f>1.454*C1029</f>
        <v>361.67086800000004</v>
      </c>
      <c r="S1029" s="9">
        <f>E1029*1.454*0.4</f>
        <v>144.66834720000003</v>
      </c>
      <c r="T1029" s="9">
        <f>E1029*1.454*0.2</f>
        <v>72.33417360000001</v>
      </c>
      <c r="U1029" s="9">
        <f>E1029*1.454*0.2</f>
        <v>72.33417360000001</v>
      </c>
      <c r="V1029" s="9">
        <f>E1029*1.454*0.2</f>
        <v>72.33417360000001</v>
      </c>
      <c r="W1029" s="9">
        <f>H1029*1.454</f>
        <v>0</v>
      </c>
      <c r="X1029" s="9">
        <f>K1029*1.454</f>
        <v>0</v>
      </c>
      <c r="Y1029" s="4">
        <f t="shared" si="155"/>
        <v>144.66834720000003</v>
      </c>
    </row>
    <row r="1030" spans="1:25" ht="12.75" customHeight="1" outlineLevel="2">
      <c r="A1030" s="170">
        <v>3</v>
      </c>
      <c r="B1030" s="162" t="s">
        <v>633</v>
      </c>
      <c r="C1030" s="162"/>
      <c r="D1030" s="162"/>
      <c r="E1030" s="162"/>
      <c r="F1030" s="162"/>
      <c r="G1030" s="162"/>
      <c r="H1030" s="162"/>
      <c r="I1030" s="162"/>
      <c r="J1030" s="162"/>
      <c r="K1030" s="162"/>
      <c r="L1030" s="162"/>
      <c r="M1030" s="162"/>
      <c r="N1030" s="162"/>
      <c r="O1030" s="162"/>
      <c r="P1030" s="162"/>
      <c r="Q1030" s="162"/>
      <c r="R1030" s="162"/>
      <c r="S1030" s="162"/>
      <c r="T1030" s="162"/>
      <c r="U1030" s="162"/>
      <c r="V1030" s="162"/>
      <c r="W1030" s="162"/>
      <c r="X1030" s="162"/>
      <c r="Y1030" s="4">
        <f t="shared" si="155"/>
        <v>0</v>
      </c>
    </row>
    <row r="1031" spans="1:25" ht="18" outlineLevel="2">
      <c r="A1031" s="170"/>
      <c r="B1031" s="5">
        <f>D1031+G1031+J1031</f>
        <v>24</v>
      </c>
      <c r="C1031" s="5">
        <f>E1031+H1031+K1031</f>
        <v>80.39999999999999</v>
      </c>
      <c r="D1031" s="5">
        <v>24</v>
      </c>
      <c r="E1031" s="8">
        <f>D1031*FORECAST(D1031,AA$11:AA$12,Z$11:Z$12)</f>
        <v>80.39999999999999</v>
      </c>
      <c r="F1031" s="5" t="s">
        <v>433</v>
      </c>
      <c r="G1031" s="5"/>
      <c r="H1031" s="5"/>
      <c r="I1031" s="5"/>
      <c r="J1031" s="5"/>
      <c r="K1031" s="5"/>
      <c r="L1031" s="5"/>
      <c r="M1031" s="5">
        <v>200</v>
      </c>
      <c r="N1031" s="5">
        <v>2000</v>
      </c>
      <c r="O1031" s="8">
        <f>C1031/0.92</f>
        <v>87.39130434782608</v>
      </c>
      <c r="P1031" s="5">
        <v>1</v>
      </c>
      <c r="Q1031" s="5">
        <v>100</v>
      </c>
      <c r="R1031" s="8">
        <f>1.454*C1031</f>
        <v>116.90159999999999</v>
      </c>
      <c r="S1031" s="9">
        <f>E1031*1.454*0.4</f>
        <v>46.760639999999995</v>
      </c>
      <c r="T1031" s="9">
        <f>E1031*1.454*0.2</f>
        <v>23.380319999999998</v>
      </c>
      <c r="U1031" s="9">
        <f>E1031*1.454*0.2</f>
        <v>23.380319999999998</v>
      </c>
      <c r="V1031" s="9">
        <f>E1031*1.454*0.2</f>
        <v>23.380319999999998</v>
      </c>
      <c r="W1031" s="9">
        <f>H1031*1.454</f>
        <v>0</v>
      </c>
      <c r="X1031" s="9">
        <f>K1031*1.454</f>
        <v>0</v>
      </c>
      <c r="Y1031" s="4">
        <f t="shared" si="155"/>
        <v>46.760639999999995</v>
      </c>
    </row>
    <row r="1032" spans="1:25" ht="36" outlineLevel="2">
      <c r="A1032" s="6" t="s">
        <v>431</v>
      </c>
      <c r="B1032" s="7">
        <f>B1027+B1029+B1031</f>
        <v>201</v>
      </c>
      <c r="C1032" s="10">
        <f>C1027+C1029+C1031</f>
        <v>471.942</v>
      </c>
      <c r="D1032" s="7">
        <f>D1027+D1029+D1031</f>
        <v>201</v>
      </c>
      <c r="E1032" s="10">
        <f>E1027+E1029+E1031</f>
        <v>471.942</v>
      </c>
      <c r="F1032" s="7" t="s">
        <v>433</v>
      </c>
      <c r="G1032" s="7">
        <f>G1027+G1029+G1031</f>
        <v>0</v>
      </c>
      <c r="H1032" s="7">
        <f>H1027+H1029+H1031</f>
        <v>0</v>
      </c>
      <c r="I1032" s="7" t="s">
        <v>441</v>
      </c>
      <c r="J1032" s="7">
        <f>J1027+J1029+J1031</f>
        <v>0</v>
      </c>
      <c r="K1032" s="7">
        <f>K1027+K1029+K1031</f>
        <v>0</v>
      </c>
      <c r="L1032" s="7" t="s">
        <v>441</v>
      </c>
      <c r="M1032" s="7">
        <f aca="true" t="shared" si="159" ref="M1032:R1032">M1027+M1029+M1031</f>
        <v>450</v>
      </c>
      <c r="N1032" s="7">
        <f t="shared" si="159"/>
        <v>5400</v>
      </c>
      <c r="O1032" s="10">
        <f t="shared" si="159"/>
        <v>512.9804347826088</v>
      </c>
      <c r="P1032" s="7">
        <f t="shared" si="159"/>
        <v>3</v>
      </c>
      <c r="Q1032" s="7">
        <f t="shared" si="159"/>
        <v>750</v>
      </c>
      <c r="R1032" s="10">
        <f t="shared" si="159"/>
        <v>686.203668</v>
      </c>
      <c r="S1032" s="10">
        <f aca="true" t="shared" si="160" ref="S1032:X1032">S1027+S1029+S1031</f>
        <v>274.4814672</v>
      </c>
      <c r="T1032" s="10">
        <f t="shared" si="160"/>
        <v>137.2407336</v>
      </c>
      <c r="U1032" s="10">
        <f t="shared" si="160"/>
        <v>137.2407336</v>
      </c>
      <c r="V1032" s="10">
        <f t="shared" si="160"/>
        <v>137.2407336</v>
      </c>
      <c r="W1032" s="10">
        <f t="shared" si="160"/>
        <v>0</v>
      </c>
      <c r="X1032" s="10">
        <f t="shared" si="160"/>
        <v>0</v>
      </c>
      <c r="Y1032" s="4">
        <f t="shared" si="155"/>
        <v>274.4814672</v>
      </c>
    </row>
    <row r="1033" spans="1:25" ht="36" hidden="1" outlineLevel="1">
      <c r="A1033" s="6" t="s">
        <v>434</v>
      </c>
      <c r="B1033" s="7">
        <f>B902+B904+B913+B915+B917+B919+B924+B926+B928+B935+B937+B946+B955+B960+B962+B969+B971+B973+B975+B980+B982+B984+B986+B988+B990+B1003+B1014+B1021+B1023+B1025+B1032</f>
        <v>2406</v>
      </c>
      <c r="C1033" s="10">
        <f>C902+C904+C913+C915+C917+C919+C924+C926+C928+C935+C937+C946+C955+C960+C962+C969+C971+C973+C975+C980+C982+C984+C986+C988+C990+C1003+C1014+C1021+C1023+C1025+C1032</f>
        <v>6647.438416666667</v>
      </c>
      <c r="D1033" s="7">
        <f>D902+D904+D913+D915+D917+D919+D924+D926+D928+D935+D937+D946+D955+D960+D962+D969+D971+D973+D975+D980+D982+D984+D986+D988+D990+D1003+D1014+D1021+D1023+D1025+D1032</f>
        <v>2406</v>
      </c>
      <c r="E1033" s="10">
        <f>E902+E904+E913+E915+E917+E919+E924+E926+E928+E935+E937+E946+E955+E960+E962+E969+E971+E973+E975+E980+E982+E984+E986+E988+E990+E1003+E1014+E1021+E1023+E1025+E1032</f>
        <v>6647.438416666667</v>
      </c>
      <c r="F1033" s="7" t="s">
        <v>433</v>
      </c>
      <c r="G1033" s="7">
        <f>G902+G904+G913+G915+G917+G919+G924+G926+G928+G935+G937+G946+G955+G960+G962+G969+G971+G973+G975+G980+G982+G984+G986+G988+G990+G1003+G1014+G1021+G1023+G1025+G1032</f>
        <v>0</v>
      </c>
      <c r="H1033" s="7">
        <f>H902+H904+H913+H915+H917+H919+H924+H926+H928+H935+H937+H946+H955+H960+H962+H969+H971+H973+H975+H980+H982+H984+H986+H988+H990+H1003+H1014+H1021+H1023+H1025+H1032</f>
        <v>0</v>
      </c>
      <c r="I1033" s="7" t="s">
        <v>441</v>
      </c>
      <c r="J1033" s="7">
        <f>J902+J904+J913+J915+J917+J919+J924+J926+J928+J935+J937+J946+J955+J960+J962+J969+J971+J973+J975+J980+J982+J984+J986+J988+J990+J1003+J1014+J1021+J1023+J1025+J1032</f>
        <v>0</v>
      </c>
      <c r="K1033" s="7">
        <f>K902+K904+K913+K915+K917+K919+K924+K926+K928+K935+K937+K946+K955+K960+K962+K969+K971+K973+K975+K980+K982+K984+K986+K988+K990+K1003+K1014+K1021+K1023+K1025+K1032</f>
        <v>0</v>
      </c>
      <c r="L1033" s="7" t="s">
        <v>441</v>
      </c>
      <c r="M1033" s="7">
        <f aca="true" t="shared" si="161" ref="M1033:X1033">M902+M904+M913+M915+M917+M919+M924+M926+M928+M935+M937+M946+M955+M960+M962+M969+M971+M973+M975+M980+M982+M984+M986+M988+M990+M1003+M1014+M1021+M1023+M1025+M1032</f>
        <v>4650</v>
      </c>
      <c r="N1033" s="7">
        <f t="shared" si="161"/>
        <v>45220</v>
      </c>
      <c r="O1033" s="10">
        <f t="shared" si="161"/>
        <v>7225.47653985507</v>
      </c>
      <c r="P1033" s="7">
        <f t="shared" si="161"/>
        <v>32</v>
      </c>
      <c r="Q1033" s="7">
        <f t="shared" si="161"/>
        <v>7990</v>
      </c>
      <c r="R1033" s="10">
        <f t="shared" si="161"/>
        <v>9665.375457833334</v>
      </c>
      <c r="S1033" s="10">
        <f t="shared" si="161"/>
        <v>3866.1501831333335</v>
      </c>
      <c r="T1033" s="10">
        <f t="shared" si="161"/>
        <v>1933.0750915666667</v>
      </c>
      <c r="U1033" s="10">
        <f t="shared" si="161"/>
        <v>1933.0750915666667</v>
      </c>
      <c r="V1033" s="10">
        <f t="shared" si="161"/>
        <v>1933.0750915666667</v>
      </c>
      <c r="W1033" s="10">
        <f t="shared" si="161"/>
        <v>0</v>
      </c>
      <c r="X1033" s="10">
        <f t="shared" si="161"/>
        <v>0</v>
      </c>
      <c r="Y1033" s="4">
        <f t="shared" si="155"/>
        <v>3866.1501831333335</v>
      </c>
    </row>
    <row r="1034" spans="1:25" ht="12.75" customHeight="1" outlineLevel="2">
      <c r="A1034" s="170">
        <v>1</v>
      </c>
      <c r="B1034" s="162" t="s">
        <v>270</v>
      </c>
      <c r="C1034" s="162"/>
      <c r="D1034" s="162"/>
      <c r="E1034" s="162"/>
      <c r="F1034" s="162"/>
      <c r="G1034" s="162"/>
      <c r="H1034" s="162"/>
      <c r="I1034" s="162"/>
      <c r="J1034" s="162"/>
      <c r="K1034" s="162"/>
      <c r="L1034" s="162"/>
      <c r="M1034" s="162"/>
      <c r="N1034" s="162"/>
      <c r="O1034" s="162"/>
      <c r="P1034" s="162"/>
      <c r="Q1034" s="162"/>
      <c r="R1034" s="162"/>
      <c r="S1034" s="162"/>
      <c r="T1034" s="162"/>
      <c r="U1034" s="162"/>
      <c r="V1034" s="162"/>
      <c r="W1034" s="162"/>
      <c r="X1034" s="162"/>
      <c r="Y1034" s="4">
        <f t="shared" si="155"/>
        <v>0</v>
      </c>
    </row>
    <row r="1035" spans="1:25" ht="18" outlineLevel="2">
      <c r="A1035" s="170"/>
      <c r="B1035" s="5">
        <f>D1035+G1035+J1035</f>
        <v>6</v>
      </c>
      <c r="C1035" s="8">
        <f>E1035+H1035+K1035</f>
        <v>42.35999999999999</v>
      </c>
      <c r="D1035" s="5">
        <v>6</v>
      </c>
      <c r="E1035" s="8">
        <f>D1035*FORECAST(D1035,AA$6:AA$7,Z$6:Z$7)</f>
        <v>42.35999999999999</v>
      </c>
      <c r="F1035" s="5" t="s">
        <v>433</v>
      </c>
      <c r="G1035" s="5"/>
      <c r="H1035" s="5"/>
      <c r="I1035" s="5"/>
      <c r="J1035" s="5"/>
      <c r="K1035" s="5"/>
      <c r="L1035" s="5"/>
      <c r="M1035" s="5"/>
      <c r="N1035" s="5">
        <v>360</v>
      </c>
      <c r="O1035" s="8">
        <f>C1035/0.92</f>
        <v>46.043478260869556</v>
      </c>
      <c r="P1035" s="5"/>
      <c r="Q1035" s="5"/>
      <c r="R1035" s="8">
        <f>1.454*C1035</f>
        <v>61.591439999999984</v>
      </c>
      <c r="S1035" s="9">
        <f>E1035*1.454*0.4</f>
        <v>24.636575999999994</v>
      </c>
      <c r="T1035" s="9">
        <f>E1035*1.454*0.2</f>
        <v>12.318287999999997</v>
      </c>
      <c r="U1035" s="9">
        <f>E1035*1.454*0.2</f>
        <v>12.318287999999997</v>
      </c>
      <c r="V1035" s="9">
        <f>E1035*1.454*0.2</f>
        <v>12.318287999999997</v>
      </c>
      <c r="W1035" s="9">
        <f>H1035*1.454</f>
        <v>0</v>
      </c>
      <c r="X1035" s="9">
        <f>K1035*1.454</f>
        <v>0</v>
      </c>
      <c r="Y1035" s="4">
        <f t="shared" si="155"/>
        <v>24.636575999999994</v>
      </c>
    </row>
    <row r="1036" spans="1:25" ht="12.75" customHeight="1" outlineLevel="2">
      <c r="A1036" s="170">
        <v>2</v>
      </c>
      <c r="B1036" s="162" t="s">
        <v>676</v>
      </c>
      <c r="C1036" s="162"/>
      <c r="D1036" s="162"/>
      <c r="E1036" s="162"/>
      <c r="F1036" s="162"/>
      <c r="G1036" s="162"/>
      <c r="H1036" s="162"/>
      <c r="I1036" s="162"/>
      <c r="J1036" s="162"/>
      <c r="K1036" s="162"/>
      <c r="L1036" s="162"/>
      <c r="M1036" s="162"/>
      <c r="N1036" s="162"/>
      <c r="O1036" s="162"/>
      <c r="P1036" s="162"/>
      <c r="Q1036" s="162"/>
      <c r="R1036" s="162"/>
      <c r="S1036" s="162"/>
      <c r="T1036" s="162"/>
      <c r="U1036" s="162"/>
      <c r="V1036" s="162"/>
      <c r="W1036" s="162"/>
      <c r="X1036" s="162"/>
      <c r="Y1036" s="4">
        <f t="shared" si="155"/>
        <v>0</v>
      </c>
    </row>
    <row r="1037" spans="1:25" ht="18" outlineLevel="2">
      <c r="A1037" s="170"/>
      <c r="B1037" s="5">
        <f>D1037+G1037+J1037</f>
        <v>9</v>
      </c>
      <c r="C1037" s="8">
        <f>E1037+H1037+K1037</f>
        <v>52.28999999999999</v>
      </c>
      <c r="D1037" s="5">
        <v>9</v>
      </c>
      <c r="E1037" s="8">
        <f>D1037*FORECAST(D1037,AA$6:AA$7,Z$6:Z$7)</f>
        <v>52.28999999999999</v>
      </c>
      <c r="F1037" s="5" t="s">
        <v>433</v>
      </c>
      <c r="G1037" s="5"/>
      <c r="H1037" s="5"/>
      <c r="I1037" s="5"/>
      <c r="J1037" s="5"/>
      <c r="K1037" s="5"/>
      <c r="L1037" s="5"/>
      <c r="M1037" s="5"/>
      <c r="N1037" s="5">
        <v>230</v>
      </c>
      <c r="O1037" s="8">
        <f>C1037/0.92</f>
        <v>56.83695652173912</v>
      </c>
      <c r="P1037" s="5"/>
      <c r="Q1037" s="5"/>
      <c r="R1037" s="8">
        <f>1.454*C1037</f>
        <v>76.02965999999999</v>
      </c>
      <c r="S1037" s="9">
        <f>E1037*1.454*0.4</f>
        <v>30.411863999999998</v>
      </c>
      <c r="T1037" s="9">
        <f>E1037*1.454*0.2</f>
        <v>15.205931999999999</v>
      </c>
      <c r="U1037" s="9">
        <f>E1037*1.454*0.2</f>
        <v>15.205931999999999</v>
      </c>
      <c r="V1037" s="9">
        <f>E1037*1.454*0.2</f>
        <v>15.205931999999999</v>
      </c>
      <c r="W1037" s="9">
        <f>H1037*1.454</f>
        <v>0</v>
      </c>
      <c r="X1037" s="9">
        <f>K1037*1.454</f>
        <v>0</v>
      </c>
      <c r="Y1037" s="4">
        <f t="shared" si="155"/>
        <v>30.411863999999998</v>
      </c>
    </row>
    <row r="1038" spans="1:25" ht="12.75" customHeight="1" outlineLevel="2">
      <c r="A1038" s="170">
        <v>3</v>
      </c>
      <c r="B1038" s="162" t="s">
        <v>271</v>
      </c>
      <c r="C1038" s="162"/>
      <c r="D1038" s="162"/>
      <c r="E1038" s="162"/>
      <c r="F1038" s="162"/>
      <c r="G1038" s="162"/>
      <c r="H1038" s="162"/>
      <c r="I1038" s="162"/>
      <c r="J1038" s="162"/>
      <c r="K1038" s="162"/>
      <c r="L1038" s="162"/>
      <c r="M1038" s="162"/>
      <c r="N1038" s="162"/>
      <c r="O1038" s="162"/>
      <c r="P1038" s="162"/>
      <c r="Q1038" s="162"/>
      <c r="R1038" s="162"/>
      <c r="S1038" s="162"/>
      <c r="T1038" s="162"/>
      <c r="U1038" s="162"/>
      <c r="V1038" s="162"/>
      <c r="W1038" s="162"/>
      <c r="X1038" s="162"/>
      <c r="Y1038" s="4">
        <f t="shared" si="155"/>
        <v>0</v>
      </c>
    </row>
    <row r="1039" spans="1:25" ht="18" outlineLevel="2">
      <c r="A1039" s="170"/>
      <c r="B1039" s="5">
        <f>D1039+G1039+J1039</f>
        <v>6</v>
      </c>
      <c r="C1039" s="8">
        <f>E1039+H1039+K1039</f>
        <v>42.35999999999999</v>
      </c>
      <c r="D1039" s="5">
        <v>6</v>
      </c>
      <c r="E1039" s="8">
        <f>D1039*FORECAST(D1039,AA$6:AA$7,Z$6:Z$7)</f>
        <v>42.35999999999999</v>
      </c>
      <c r="F1039" s="5" t="s">
        <v>433</v>
      </c>
      <c r="G1039" s="5"/>
      <c r="H1039" s="5"/>
      <c r="I1039" s="5"/>
      <c r="J1039" s="5"/>
      <c r="K1039" s="5"/>
      <c r="L1039" s="5"/>
      <c r="M1039" s="5"/>
      <c r="N1039" s="5">
        <v>240</v>
      </c>
      <c r="O1039" s="8">
        <f>C1039/0.92</f>
        <v>46.043478260869556</v>
      </c>
      <c r="P1039" s="5"/>
      <c r="Q1039" s="5"/>
      <c r="R1039" s="8">
        <f>1.454*C1039</f>
        <v>61.591439999999984</v>
      </c>
      <c r="S1039" s="9">
        <f>E1039*1.454*0.4</f>
        <v>24.636575999999994</v>
      </c>
      <c r="T1039" s="9">
        <f>E1039*1.454*0.2</f>
        <v>12.318287999999997</v>
      </c>
      <c r="U1039" s="9">
        <f>E1039*1.454*0.2</f>
        <v>12.318287999999997</v>
      </c>
      <c r="V1039" s="9">
        <f>E1039*1.454*0.2</f>
        <v>12.318287999999997</v>
      </c>
      <c r="W1039" s="9">
        <f>H1039*1.454</f>
        <v>0</v>
      </c>
      <c r="X1039" s="9">
        <f>K1039*1.454</f>
        <v>0</v>
      </c>
      <c r="Y1039" s="4">
        <f t="shared" si="155"/>
        <v>24.636575999999994</v>
      </c>
    </row>
    <row r="1040" spans="1:25" ht="36" outlineLevel="2">
      <c r="A1040" s="6" t="s">
        <v>431</v>
      </c>
      <c r="B1040" s="7">
        <f>B1035+B1037+B1039</f>
        <v>21</v>
      </c>
      <c r="C1040" s="10">
        <f>C1035+C1037+C1039</f>
        <v>137.00999999999996</v>
      </c>
      <c r="D1040" s="7">
        <f>D1035+D1037+D1039</f>
        <v>21</v>
      </c>
      <c r="E1040" s="10">
        <f>E1035+E1037+E1039</f>
        <v>137.00999999999996</v>
      </c>
      <c r="F1040" s="7" t="s">
        <v>433</v>
      </c>
      <c r="G1040" s="7">
        <f>G1035+G1037+G1039</f>
        <v>0</v>
      </c>
      <c r="H1040" s="7">
        <f>H1035+H1037+H1039</f>
        <v>0</v>
      </c>
      <c r="I1040" s="7" t="s">
        <v>441</v>
      </c>
      <c r="J1040" s="7">
        <f aca="true" t="shared" si="162" ref="J1040:X1040">J1035+J1037+J1039</f>
        <v>0</v>
      </c>
      <c r="K1040" s="7">
        <f t="shared" si="162"/>
        <v>0</v>
      </c>
      <c r="L1040" s="7" t="s">
        <v>441</v>
      </c>
      <c r="M1040" s="7">
        <f t="shared" si="162"/>
        <v>0</v>
      </c>
      <c r="N1040" s="7">
        <f t="shared" si="162"/>
        <v>830</v>
      </c>
      <c r="O1040" s="10">
        <f t="shared" si="162"/>
        <v>148.92391304347822</v>
      </c>
      <c r="P1040" s="7">
        <f t="shared" si="162"/>
        <v>0</v>
      </c>
      <c r="Q1040" s="7">
        <f t="shared" si="162"/>
        <v>0</v>
      </c>
      <c r="R1040" s="10">
        <f t="shared" si="162"/>
        <v>199.21253999999996</v>
      </c>
      <c r="S1040" s="10">
        <f t="shared" si="162"/>
        <v>79.68501599999999</v>
      </c>
      <c r="T1040" s="10">
        <f t="shared" si="162"/>
        <v>39.842507999999995</v>
      </c>
      <c r="U1040" s="10">
        <f t="shared" si="162"/>
        <v>39.842507999999995</v>
      </c>
      <c r="V1040" s="10">
        <f t="shared" si="162"/>
        <v>39.842507999999995</v>
      </c>
      <c r="W1040" s="10">
        <f t="shared" si="162"/>
        <v>0</v>
      </c>
      <c r="X1040" s="10">
        <f t="shared" si="162"/>
        <v>0</v>
      </c>
      <c r="Y1040" s="4">
        <f t="shared" si="155"/>
        <v>79.68501599999999</v>
      </c>
    </row>
    <row r="1041" spans="1:25" ht="12.75" customHeight="1" outlineLevel="2">
      <c r="A1041" s="170">
        <v>1</v>
      </c>
      <c r="B1041" s="162" t="s">
        <v>272</v>
      </c>
      <c r="C1041" s="162"/>
      <c r="D1041" s="162"/>
      <c r="E1041" s="162"/>
      <c r="F1041" s="162"/>
      <c r="G1041" s="162"/>
      <c r="H1041" s="162"/>
      <c r="I1041" s="162"/>
      <c r="J1041" s="162"/>
      <c r="K1041" s="162"/>
      <c r="L1041" s="162"/>
      <c r="M1041" s="162"/>
      <c r="N1041" s="162"/>
      <c r="O1041" s="162"/>
      <c r="P1041" s="162"/>
      <c r="Q1041" s="162"/>
      <c r="R1041" s="162"/>
      <c r="S1041" s="162"/>
      <c r="T1041" s="162"/>
      <c r="U1041" s="162"/>
      <c r="V1041" s="162"/>
      <c r="W1041" s="162"/>
      <c r="X1041" s="162"/>
      <c r="Y1041" s="4">
        <f t="shared" si="155"/>
        <v>0</v>
      </c>
    </row>
    <row r="1042" spans="1:25" ht="18" outlineLevel="2">
      <c r="A1042" s="170"/>
      <c r="B1042" s="5">
        <f>D1042+G1042+J1042</f>
        <v>30</v>
      </c>
      <c r="C1042" s="8">
        <f>E1042+H1042+K1042</f>
        <v>92.73749999999998</v>
      </c>
      <c r="D1042" s="5">
        <v>30</v>
      </c>
      <c r="E1042" s="8">
        <f>D1042*FORECAST(D1042,AA$11:AA$12,Z$11:Z$12)</f>
        <v>92.73749999999998</v>
      </c>
      <c r="F1042" s="5" t="s">
        <v>433</v>
      </c>
      <c r="G1042" s="5"/>
      <c r="H1042" s="5"/>
      <c r="I1042" s="5"/>
      <c r="J1042" s="5"/>
      <c r="K1042" s="5"/>
      <c r="L1042" s="5"/>
      <c r="M1042" s="5"/>
      <c r="N1042" s="5">
        <v>900</v>
      </c>
      <c r="O1042" s="8">
        <f>C1042/0.92</f>
        <v>100.80163043478258</v>
      </c>
      <c r="P1042" s="5"/>
      <c r="Q1042" s="5"/>
      <c r="R1042" s="8">
        <f>1.454*C1042</f>
        <v>134.84032499999998</v>
      </c>
      <c r="S1042" s="9">
        <f>E1042*1.454*0.4</f>
        <v>53.93612999999999</v>
      </c>
      <c r="T1042" s="9">
        <f>E1042*1.454*0.2</f>
        <v>26.968064999999996</v>
      </c>
      <c r="U1042" s="9">
        <f>E1042*1.454*0.2</f>
        <v>26.968064999999996</v>
      </c>
      <c r="V1042" s="9">
        <f>E1042*1.454*0.2</f>
        <v>26.968064999999996</v>
      </c>
      <c r="W1042" s="9">
        <f>H1042*1.454</f>
        <v>0</v>
      </c>
      <c r="X1042" s="9">
        <f>K1042*1.454</f>
        <v>0</v>
      </c>
      <c r="Y1042" s="4">
        <f t="shared" si="155"/>
        <v>53.93612999999999</v>
      </c>
    </row>
    <row r="1043" spans="1:25" ht="12.75" customHeight="1" outlineLevel="2">
      <c r="A1043" s="170">
        <v>2</v>
      </c>
      <c r="B1043" s="162" t="s">
        <v>634</v>
      </c>
      <c r="C1043" s="162"/>
      <c r="D1043" s="162"/>
      <c r="E1043" s="162"/>
      <c r="F1043" s="162"/>
      <c r="G1043" s="162"/>
      <c r="H1043" s="162"/>
      <c r="I1043" s="162"/>
      <c r="J1043" s="162"/>
      <c r="K1043" s="162"/>
      <c r="L1043" s="162"/>
      <c r="M1043" s="162"/>
      <c r="N1043" s="162"/>
      <c r="O1043" s="162"/>
      <c r="P1043" s="162"/>
      <c r="Q1043" s="162"/>
      <c r="R1043" s="162"/>
      <c r="S1043" s="162"/>
      <c r="T1043" s="162"/>
      <c r="U1043" s="162"/>
      <c r="V1043" s="162"/>
      <c r="W1043" s="162"/>
      <c r="X1043" s="162"/>
      <c r="Y1043" s="4">
        <f t="shared" si="155"/>
        <v>0</v>
      </c>
    </row>
    <row r="1044" spans="1:25" ht="18" outlineLevel="2">
      <c r="A1044" s="170"/>
      <c r="B1044" s="5">
        <f>D1044+G1044+J1044</f>
        <v>30</v>
      </c>
      <c r="C1044" s="8">
        <f>E1044+H1044+K1044</f>
        <v>92.73749999999998</v>
      </c>
      <c r="D1044" s="5">
        <v>30</v>
      </c>
      <c r="E1044" s="8">
        <f>D1044*FORECAST(D1044,AA$11:AA$12,Z$11:Z$12)</f>
        <v>92.73749999999998</v>
      </c>
      <c r="F1044" s="5" t="s">
        <v>433</v>
      </c>
      <c r="G1044" s="5"/>
      <c r="H1044" s="5"/>
      <c r="I1044" s="5"/>
      <c r="J1044" s="5"/>
      <c r="K1044" s="5"/>
      <c r="L1044" s="5"/>
      <c r="M1044" s="5"/>
      <c r="N1044" s="5">
        <v>900</v>
      </c>
      <c r="O1044" s="8">
        <f>C1044/0.92</f>
        <v>100.80163043478258</v>
      </c>
      <c r="P1044" s="5"/>
      <c r="Q1044" s="5"/>
      <c r="R1044" s="8">
        <f>1.454*C1044</f>
        <v>134.84032499999998</v>
      </c>
      <c r="S1044" s="9">
        <f>E1044*1.454*0.4</f>
        <v>53.93612999999999</v>
      </c>
      <c r="T1044" s="9">
        <f>E1044*1.454*0.2</f>
        <v>26.968064999999996</v>
      </c>
      <c r="U1044" s="9">
        <f>E1044*1.454*0.2</f>
        <v>26.968064999999996</v>
      </c>
      <c r="V1044" s="9">
        <f>E1044*1.454*0.2</f>
        <v>26.968064999999996</v>
      </c>
      <c r="W1044" s="9">
        <f>H1044*1.454</f>
        <v>0</v>
      </c>
      <c r="X1044" s="9">
        <f>K1044*1.454</f>
        <v>0</v>
      </c>
      <c r="Y1044" s="4">
        <f t="shared" si="155"/>
        <v>53.93612999999999</v>
      </c>
    </row>
    <row r="1045" spans="1:25" ht="36" outlineLevel="2">
      <c r="A1045" s="6" t="s">
        <v>431</v>
      </c>
      <c r="B1045" s="7">
        <f>B1042+B1044</f>
        <v>60</v>
      </c>
      <c r="C1045" s="10">
        <f>C1042+C1044</f>
        <v>185.47499999999997</v>
      </c>
      <c r="D1045" s="7">
        <f>D1042+D1044</f>
        <v>60</v>
      </c>
      <c r="E1045" s="10">
        <f>E1042+E1044</f>
        <v>185.47499999999997</v>
      </c>
      <c r="F1045" s="7" t="s">
        <v>433</v>
      </c>
      <c r="G1045" s="7">
        <f>G1042+G1044</f>
        <v>0</v>
      </c>
      <c r="H1045" s="7">
        <f>H1042+H1044</f>
        <v>0</v>
      </c>
      <c r="I1045" s="7" t="s">
        <v>441</v>
      </c>
      <c r="J1045" s="7">
        <f>J1042+J1044</f>
        <v>0</v>
      </c>
      <c r="K1045" s="7">
        <f>K1042+K1044</f>
        <v>0</v>
      </c>
      <c r="L1045" s="7" t="s">
        <v>441</v>
      </c>
      <c r="M1045" s="7">
        <f aca="true" t="shared" si="163" ref="M1045:X1045">M1042+M1044</f>
        <v>0</v>
      </c>
      <c r="N1045" s="7">
        <f t="shared" si="163"/>
        <v>1800</v>
      </c>
      <c r="O1045" s="10">
        <f t="shared" si="163"/>
        <v>201.60326086956516</v>
      </c>
      <c r="P1045" s="7">
        <f t="shared" si="163"/>
        <v>0</v>
      </c>
      <c r="Q1045" s="7">
        <f t="shared" si="163"/>
        <v>0</v>
      </c>
      <c r="R1045" s="10">
        <f t="shared" si="163"/>
        <v>269.68064999999996</v>
      </c>
      <c r="S1045" s="10">
        <f t="shared" si="163"/>
        <v>107.87225999999998</v>
      </c>
      <c r="T1045" s="10">
        <f t="shared" si="163"/>
        <v>53.93612999999999</v>
      </c>
      <c r="U1045" s="10">
        <f t="shared" si="163"/>
        <v>53.93612999999999</v>
      </c>
      <c r="V1045" s="10">
        <f t="shared" si="163"/>
        <v>53.93612999999999</v>
      </c>
      <c r="W1045" s="10">
        <f t="shared" si="163"/>
        <v>0</v>
      </c>
      <c r="X1045" s="10">
        <f t="shared" si="163"/>
        <v>0</v>
      </c>
      <c r="Y1045" s="4">
        <f t="shared" si="155"/>
        <v>107.87225999999998</v>
      </c>
    </row>
    <row r="1046" spans="1:25" ht="12.75" customHeight="1" outlineLevel="2">
      <c r="A1046" s="170">
        <v>1</v>
      </c>
      <c r="B1046" s="162" t="s">
        <v>677</v>
      </c>
      <c r="C1046" s="162"/>
      <c r="D1046" s="162"/>
      <c r="E1046" s="162"/>
      <c r="F1046" s="162"/>
      <c r="G1046" s="162"/>
      <c r="H1046" s="162"/>
      <c r="I1046" s="162"/>
      <c r="J1046" s="162"/>
      <c r="K1046" s="162"/>
      <c r="L1046" s="162"/>
      <c r="M1046" s="162"/>
      <c r="N1046" s="162"/>
      <c r="O1046" s="162"/>
      <c r="P1046" s="162"/>
      <c r="Q1046" s="162"/>
      <c r="R1046" s="162"/>
      <c r="S1046" s="162"/>
      <c r="T1046" s="162"/>
      <c r="U1046" s="162"/>
      <c r="V1046" s="162"/>
      <c r="W1046" s="162"/>
      <c r="X1046" s="162"/>
      <c r="Y1046" s="4">
        <f t="shared" si="155"/>
        <v>0</v>
      </c>
    </row>
    <row r="1047" spans="1:25" ht="18" outlineLevel="2">
      <c r="A1047" s="170"/>
      <c r="B1047" s="5">
        <f>D1047+G1047+J1047</f>
        <v>60</v>
      </c>
      <c r="C1047" s="5">
        <f>E1047+H1047+K1047</f>
        <v>142.79999999999998</v>
      </c>
      <c r="D1047" s="5">
        <v>60</v>
      </c>
      <c r="E1047" s="8">
        <f>D1047*FORECAST(D1047,AA$12:AA$13,Z$12:Z$13)</f>
        <v>142.79999999999998</v>
      </c>
      <c r="F1047" s="5" t="s">
        <v>433</v>
      </c>
      <c r="G1047" s="5"/>
      <c r="H1047" s="5"/>
      <c r="I1047" s="5"/>
      <c r="J1047" s="5"/>
      <c r="K1047" s="5"/>
      <c r="L1047" s="5"/>
      <c r="M1047" s="5"/>
      <c r="N1047" s="5">
        <v>1000</v>
      </c>
      <c r="O1047" s="8">
        <f>C1047/0.92</f>
        <v>155.2173913043478</v>
      </c>
      <c r="P1047" s="5"/>
      <c r="Q1047" s="5"/>
      <c r="R1047" s="8">
        <f>1.454*C1047</f>
        <v>207.63119999999998</v>
      </c>
      <c r="S1047" s="9">
        <f>E1047*1.454*0.4</f>
        <v>83.05248</v>
      </c>
      <c r="T1047" s="9">
        <f>E1047*1.454*0.2</f>
        <v>41.52624</v>
      </c>
      <c r="U1047" s="9">
        <f>E1047*1.454*0.2</f>
        <v>41.52624</v>
      </c>
      <c r="V1047" s="9">
        <f>E1047*1.454*0.2</f>
        <v>41.52624</v>
      </c>
      <c r="W1047" s="9">
        <f>H1047*1.454</f>
        <v>0</v>
      </c>
      <c r="X1047" s="9">
        <f>K1047*1.454</f>
        <v>0</v>
      </c>
      <c r="Y1047" s="4">
        <f t="shared" si="155"/>
        <v>83.05248</v>
      </c>
    </row>
    <row r="1048" spans="1:25" ht="12.75" customHeight="1" outlineLevel="2">
      <c r="A1048" s="170">
        <v>1</v>
      </c>
      <c r="B1048" s="162" t="s">
        <v>273</v>
      </c>
      <c r="C1048" s="162"/>
      <c r="D1048" s="162"/>
      <c r="E1048" s="162"/>
      <c r="F1048" s="162"/>
      <c r="G1048" s="162"/>
      <c r="H1048" s="162"/>
      <c r="I1048" s="162"/>
      <c r="J1048" s="162"/>
      <c r="K1048" s="162"/>
      <c r="L1048" s="162"/>
      <c r="M1048" s="162"/>
      <c r="N1048" s="162"/>
      <c r="O1048" s="162"/>
      <c r="P1048" s="162"/>
      <c r="Q1048" s="162"/>
      <c r="R1048" s="162"/>
      <c r="S1048" s="162"/>
      <c r="T1048" s="162"/>
      <c r="U1048" s="162"/>
      <c r="V1048" s="162"/>
      <c r="W1048" s="162"/>
      <c r="X1048" s="162"/>
      <c r="Y1048" s="4">
        <f t="shared" si="155"/>
        <v>0</v>
      </c>
    </row>
    <row r="1049" spans="1:25" ht="18" outlineLevel="2">
      <c r="A1049" s="170"/>
      <c r="B1049" s="5">
        <f>D1049+G1049+J1049</f>
        <v>40</v>
      </c>
      <c r="C1049" s="8">
        <f>E1049+H1049+K1049</f>
        <v>106.4</v>
      </c>
      <c r="D1049" s="5">
        <v>40</v>
      </c>
      <c r="E1049" s="8">
        <f>D1049*FORECAST(D1049,AA$12:AA$13,Z$12:Z$13)</f>
        <v>106.4</v>
      </c>
      <c r="F1049" s="5" t="s">
        <v>433</v>
      </c>
      <c r="G1049" s="5"/>
      <c r="H1049" s="5"/>
      <c r="I1049" s="5"/>
      <c r="J1049" s="5"/>
      <c r="K1049" s="5"/>
      <c r="L1049" s="5"/>
      <c r="M1049" s="5"/>
      <c r="N1049" s="5">
        <v>2000</v>
      </c>
      <c r="O1049" s="8">
        <f>C1049/0.92</f>
        <v>115.65217391304348</v>
      </c>
      <c r="P1049" s="5"/>
      <c r="Q1049" s="5"/>
      <c r="R1049" s="8">
        <f>1.454*C1049</f>
        <v>154.7056</v>
      </c>
      <c r="S1049" s="9">
        <f>E1049*1.454*0.4</f>
        <v>61.88224</v>
      </c>
      <c r="T1049" s="9">
        <f>E1049*1.454*0.2</f>
        <v>30.94112</v>
      </c>
      <c r="U1049" s="9">
        <f>E1049*1.454*0.2</f>
        <v>30.94112</v>
      </c>
      <c r="V1049" s="9">
        <f>E1049*1.454*0.2</f>
        <v>30.94112</v>
      </c>
      <c r="W1049" s="9">
        <f>H1049*1.454</f>
        <v>0</v>
      </c>
      <c r="X1049" s="9">
        <f>K1049*1.454</f>
        <v>0</v>
      </c>
      <c r="Y1049" s="4">
        <f t="shared" si="155"/>
        <v>61.88224</v>
      </c>
    </row>
    <row r="1050" spans="1:25" ht="12.75" customHeight="1" outlineLevel="2">
      <c r="A1050" s="170">
        <v>1</v>
      </c>
      <c r="B1050" s="162" t="s">
        <v>274</v>
      </c>
      <c r="C1050" s="162"/>
      <c r="D1050" s="162"/>
      <c r="E1050" s="162"/>
      <c r="F1050" s="162"/>
      <c r="G1050" s="162"/>
      <c r="H1050" s="162"/>
      <c r="I1050" s="162"/>
      <c r="J1050" s="162"/>
      <c r="K1050" s="162"/>
      <c r="L1050" s="162"/>
      <c r="M1050" s="162"/>
      <c r="N1050" s="162"/>
      <c r="O1050" s="162"/>
      <c r="P1050" s="162"/>
      <c r="Q1050" s="162"/>
      <c r="R1050" s="162"/>
      <c r="S1050" s="162"/>
      <c r="T1050" s="162"/>
      <c r="U1050" s="162"/>
      <c r="V1050" s="162"/>
      <c r="W1050" s="162"/>
      <c r="X1050" s="162"/>
      <c r="Y1050" s="4">
        <f t="shared" si="155"/>
        <v>0</v>
      </c>
    </row>
    <row r="1051" spans="1:25" ht="18" outlineLevel="2">
      <c r="A1051" s="170"/>
      <c r="B1051" s="5">
        <f>D1051+G1051+J1051</f>
        <v>10</v>
      </c>
      <c r="C1051" s="8">
        <f>E1051+H1051+K1051</f>
        <v>55.26666666666667</v>
      </c>
      <c r="D1051" s="5">
        <v>10</v>
      </c>
      <c r="E1051" s="8">
        <f>D1051*FORECAST(D1051,AA$7:AA$8,Z$7:Z$8)</f>
        <v>55.26666666666667</v>
      </c>
      <c r="F1051" s="5" t="s">
        <v>433</v>
      </c>
      <c r="G1051" s="5"/>
      <c r="H1051" s="5"/>
      <c r="I1051" s="5"/>
      <c r="J1051" s="5"/>
      <c r="K1051" s="5"/>
      <c r="L1051" s="5"/>
      <c r="M1051" s="5"/>
      <c r="N1051" s="5">
        <v>200</v>
      </c>
      <c r="O1051" s="8">
        <f>C1051/0.92</f>
        <v>60.072463768115945</v>
      </c>
      <c r="P1051" s="5"/>
      <c r="Q1051" s="5"/>
      <c r="R1051" s="8">
        <f>1.454*C1051</f>
        <v>80.35773333333334</v>
      </c>
      <c r="S1051" s="9">
        <f>E1051*1.454*0.4</f>
        <v>32.14309333333334</v>
      </c>
      <c r="T1051" s="9">
        <f>E1051*1.454*0.2</f>
        <v>16.07154666666667</v>
      </c>
      <c r="U1051" s="9">
        <f>E1051*1.454*0.2</f>
        <v>16.07154666666667</v>
      </c>
      <c r="V1051" s="9">
        <f>E1051*1.454*0.2</f>
        <v>16.07154666666667</v>
      </c>
      <c r="W1051" s="9">
        <f>H1051*1.454</f>
        <v>0</v>
      </c>
      <c r="X1051" s="9">
        <f>K1051*1.454</f>
        <v>0</v>
      </c>
      <c r="Y1051" s="4">
        <f t="shared" si="155"/>
        <v>32.14309333333334</v>
      </c>
    </row>
    <row r="1052" spans="1:25" ht="12.75" customHeight="1" outlineLevel="2">
      <c r="A1052" s="170">
        <v>2</v>
      </c>
      <c r="B1052" s="162" t="s">
        <v>275</v>
      </c>
      <c r="C1052" s="162"/>
      <c r="D1052" s="162"/>
      <c r="E1052" s="162"/>
      <c r="F1052" s="162"/>
      <c r="G1052" s="162"/>
      <c r="H1052" s="162"/>
      <c r="I1052" s="162"/>
      <c r="J1052" s="162"/>
      <c r="K1052" s="162"/>
      <c r="L1052" s="162"/>
      <c r="M1052" s="162"/>
      <c r="N1052" s="162"/>
      <c r="O1052" s="162"/>
      <c r="P1052" s="162"/>
      <c r="Q1052" s="162"/>
      <c r="R1052" s="162"/>
      <c r="S1052" s="162"/>
      <c r="T1052" s="162"/>
      <c r="U1052" s="162"/>
      <c r="V1052" s="162"/>
      <c r="W1052" s="162"/>
      <c r="X1052" s="162"/>
      <c r="Y1052" s="4">
        <f t="shared" si="155"/>
        <v>0</v>
      </c>
    </row>
    <row r="1053" spans="1:25" ht="18" outlineLevel="2">
      <c r="A1053" s="170"/>
      <c r="B1053" s="5">
        <f>D1053+G1053+J1053</f>
        <v>15</v>
      </c>
      <c r="C1053" s="8">
        <f>E1053+H1053+K1053</f>
        <v>65.10000000000001</v>
      </c>
      <c r="D1053" s="5">
        <v>15</v>
      </c>
      <c r="E1053" s="8">
        <f>D1053*FORECAST(D1053,AA$8:AA$9,Z$8:Z$9)</f>
        <v>65.10000000000001</v>
      </c>
      <c r="F1053" s="5" t="s">
        <v>433</v>
      </c>
      <c r="G1053" s="5"/>
      <c r="H1053" s="5"/>
      <c r="I1053" s="5"/>
      <c r="J1053" s="5"/>
      <c r="K1053" s="5"/>
      <c r="L1053" s="5"/>
      <c r="M1053" s="5"/>
      <c r="N1053" s="5">
        <v>300</v>
      </c>
      <c r="O1053" s="8">
        <f>C1053/0.92</f>
        <v>70.76086956521739</v>
      </c>
      <c r="P1053" s="5"/>
      <c r="Q1053" s="5"/>
      <c r="R1053" s="8">
        <f>1.454*C1053</f>
        <v>94.65540000000001</v>
      </c>
      <c r="S1053" s="9">
        <f>E1053*1.454*0.4</f>
        <v>37.86216000000001</v>
      </c>
      <c r="T1053" s="9">
        <f>E1053*1.454*0.2</f>
        <v>18.931080000000005</v>
      </c>
      <c r="U1053" s="9">
        <f>E1053*1.454*0.2</f>
        <v>18.931080000000005</v>
      </c>
      <c r="V1053" s="9">
        <f>E1053*1.454*0.2</f>
        <v>18.931080000000005</v>
      </c>
      <c r="W1053" s="9">
        <f>H1053*1.454</f>
        <v>0</v>
      </c>
      <c r="X1053" s="9">
        <f>K1053*1.454</f>
        <v>0</v>
      </c>
      <c r="Y1053" s="4">
        <f t="shared" si="155"/>
        <v>37.86216000000001</v>
      </c>
    </row>
    <row r="1054" spans="1:25" ht="12.75" customHeight="1" outlineLevel="2">
      <c r="A1054" s="170">
        <v>3</v>
      </c>
      <c r="B1054" s="162" t="s">
        <v>635</v>
      </c>
      <c r="C1054" s="162"/>
      <c r="D1054" s="162"/>
      <c r="E1054" s="162"/>
      <c r="F1054" s="162"/>
      <c r="G1054" s="162"/>
      <c r="H1054" s="162"/>
      <c r="I1054" s="162"/>
      <c r="J1054" s="162"/>
      <c r="K1054" s="162"/>
      <c r="L1054" s="162"/>
      <c r="M1054" s="162"/>
      <c r="N1054" s="162"/>
      <c r="O1054" s="162"/>
      <c r="P1054" s="162"/>
      <c r="Q1054" s="162"/>
      <c r="R1054" s="162"/>
      <c r="S1054" s="162"/>
      <c r="T1054" s="162"/>
      <c r="U1054" s="162"/>
      <c r="V1054" s="162"/>
      <c r="W1054" s="162"/>
      <c r="X1054" s="162"/>
      <c r="Y1054" s="4">
        <f t="shared" si="155"/>
        <v>0</v>
      </c>
    </row>
    <row r="1055" spans="1:25" ht="18" outlineLevel="2">
      <c r="A1055" s="170"/>
      <c r="B1055" s="5">
        <f>D1055+G1055+J1055</f>
        <v>10</v>
      </c>
      <c r="C1055" s="8">
        <f>E1055+H1055+K1055</f>
        <v>55.26666666666667</v>
      </c>
      <c r="D1055" s="5">
        <v>10</v>
      </c>
      <c r="E1055" s="8">
        <f>D1055*FORECAST(D1055,AA$7:AA$8,Z$7:Z$8)</f>
        <v>55.26666666666667</v>
      </c>
      <c r="F1055" s="5" t="s">
        <v>433</v>
      </c>
      <c r="G1055" s="5"/>
      <c r="H1055" s="5"/>
      <c r="I1055" s="5"/>
      <c r="J1055" s="5"/>
      <c r="K1055" s="5"/>
      <c r="L1055" s="5"/>
      <c r="M1055" s="5"/>
      <c r="N1055" s="5">
        <v>500</v>
      </c>
      <c r="O1055" s="8">
        <f>C1055/0.92</f>
        <v>60.072463768115945</v>
      </c>
      <c r="P1055" s="5"/>
      <c r="Q1055" s="5"/>
      <c r="R1055" s="8">
        <f>1.454*C1055</f>
        <v>80.35773333333334</v>
      </c>
      <c r="S1055" s="9">
        <f>E1055*1.454*0.4</f>
        <v>32.14309333333334</v>
      </c>
      <c r="T1055" s="9">
        <f>E1055*1.454*0.2</f>
        <v>16.07154666666667</v>
      </c>
      <c r="U1055" s="9">
        <f>E1055*1.454*0.2</f>
        <v>16.07154666666667</v>
      </c>
      <c r="V1055" s="9">
        <f>E1055*1.454*0.2</f>
        <v>16.07154666666667</v>
      </c>
      <c r="W1055" s="9">
        <f>H1055*1.454</f>
        <v>0</v>
      </c>
      <c r="X1055" s="9">
        <f>K1055*1.454</f>
        <v>0</v>
      </c>
      <c r="Y1055" s="4">
        <f t="shared" si="155"/>
        <v>32.14309333333334</v>
      </c>
    </row>
    <row r="1056" spans="1:25" ht="12.75" customHeight="1" outlineLevel="2">
      <c r="A1056" s="170">
        <v>4</v>
      </c>
      <c r="B1056" s="162" t="s">
        <v>276</v>
      </c>
      <c r="C1056" s="162"/>
      <c r="D1056" s="162"/>
      <c r="E1056" s="162"/>
      <c r="F1056" s="162"/>
      <c r="G1056" s="162"/>
      <c r="H1056" s="162"/>
      <c r="I1056" s="162"/>
      <c r="J1056" s="162"/>
      <c r="K1056" s="162"/>
      <c r="L1056" s="162"/>
      <c r="M1056" s="162"/>
      <c r="N1056" s="162"/>
      <c r="O1056" s="162"/>
      <c r="P1056" s="162"/>
      <c r="Q1056" s="162"/>
      <c r="R1056" s="162"/>
      <c r="S1056" s="162"/>
      <c r="T1056" s="162"/>
      <c r="U1056" s="162"/>
      <c r="V1056" s="162"/>
      <c r="W1056" s="162"/>
      <c r="X1056" s="162"/>
      <c r="Y1056" s="4">
        <f t="shared" si="155"/>
        <v>0</v>
      </c>
    </row>
    <row r="1057" spans="1:25" ht="18" outlineLevel="2">
      <c r="A1057" s="170"/>
      <c r="B1057" s="5">
        <f>D1057+G1057+J1057</f>
        <v>13</v>
      </c>
      <c r="C1057" s="8">
        <f>E1057+H1057+K1057</f>
        <v>61.79333333333334</v>
      </c>
      <c r="D1057" s="5">
        <v>13</v>
      </c>
      <c r="E1057" s="8">
        <f>D1057*FORECAST(D1057,AA$8:AA$9,Z$8:Z$9)</f>
        <v>61.79333333333334</v>
      </c>
      <c r="F1057" s="5" t="s">
        <v>433</v>
      </c>
      <c r="G1057" s="5"/>
      <c r="H1057" s="5"/>
      <c r="I1057" s="5"/>
      <c r="J1057" s="5"/>
      <c r="K1057" s="5"/>
      <c r="L1057" s="5"/>
      <c r="M1057" s="5"/>
      <c r="N1057" s="5">
        <v>300</v>
      </c>
      <c r="O1057" s="8">
        <f>C1057/0.92</f>
        <v>67.16666666666667</v>
      </c>
      <c r="P1057" s="5"/>
      <c r="Q1057" s="5"/>
      <c r="R1057" s="8">
        <f>1.454*C1057</f>
        <v>89.84750666666667</v>
      </c>
      <c r="S1057" s="9">
        <f>E1057*1.454*0.4</f>
        <v>35.939002666666674</v>
      </c>
      <c r="T1057" s="9">
        <f>E1057*1.454*0.2</f>
        <v>17.969501333333337</v>
      </c>
      <c r="U1057" s="9">
        <f>E1057*1.454*0.2</f>
        <v>17.969501333333337</v>
      </c>
      <c r="V1057" s="9">
        <f>E1057*1.454*0.2</f>
        <v>17.969501333333337</v>
      </c>
      <c r="W1057" s="9">
        <f>H1057*1.454</f>
        <v>0</v>
      </c>
      <c r="X1057" s="9">
        <f>K1057*1.454</f>
        <v>0</v>
      </c>
      <c r="Y1057" s="4">
        <f t="shared" si="155"/>
        <v>35.939002666666674</v>
      </c>
    </row>
    <row r="1058" spans="1:25" ht="12.75" customHeight="1" outlineLevel="2">
      <c r="A1058" s="170">
        <v>5</v>
      </c>
      <c r="B1058" s="162" t="s">
        <v>277</v>
      </c>
      <c r="C1058" s="162"/>
      <c r="D1058" s="162"/>
      <c r="E1058" s="162"/>
      <c r="F1058" s="162"/>
      <c r="G1058" s="162"/>
      <c r="H1058" s="162"/>
      <c r="I1058" s="162"/>
      <c r="J1058" s="162"/>
      <c r="K1058" s="162"/>
      <c r="L1058" s="162"/>
      <c r="M1058" s="162"/>
      <c r="N1058" s="162"/>
      <c r="O1058" s="162"/>
      <c r="P1058" s="162"/>
      <c r="Q1058" s="162"/>
      <c r="R1058" s="162"/>
      <c r="S1058" s="162"/>
      <c r="T1058" s="162"/>
      <c r="U1058" s="162"/>
      <c r="V1058" s="162"/>
      <c r="W1058" s="162"/>
      <c r="X1058" s="162"/>
      <c r="Y1058" s="4">
        <f t="shared" si="155"/>
        <v>0</v>
      </c>
    </row>
    <row r="1059" spans="1:25" ht="18" outlineLevel="2">
      <c r="A1059" s="170"/>
      <c r="B1059" s="5">
        <f>D1059+G1059+J1059</f>
        <v>15</v>
      </c>
      <c r="C1059" s="5">
        <f>E1059+H1059+K1059</f>
        <v>65.10000000000001</v>
      </c>
      <c r="D1059" s="5">
        <v>15</v>
      </c>
      <c r="E1059" s="8">
        <f>D1059*FORECAST(D1059,AA$8:AA$9,Z$8:Z$9)</f>
        <v>65.10000000000001</v>
      </c>
      <c r="F1059" s="5" t="s">
        <v>433</v>
      </c>
      <c r="G1059" s="5"/>
      <c r="H1059" s="5"/>
      <c r="I1059" s="5"/>
      <c r="J1059" s="5"/>
      <c r="K1059" s="5"/>
      <c r="L1059" s="5"/>
      <c r="M1059" s="5"/>
      <c r="N1059" s="5">
        <v>600</v>
      </c>
      <c r="O1059" s="8">
        <f>C1059/0.92</f>
        <v>70.76086956521739</v>
      </c>
      <c r="P1059" s="5"/>
      <c r="Q1059" s="5"/>
      <c r="R1059" s="8">
        <f>1.454*C1059</f>
        <v>94.65540000000001</v>
      </c>
      <c r="S1059" s="9">
        <f>E1059*1.454*0.4</f>
        <v>37.86216000000001</v>
      </c>
      <c r="T1059" s="9">
        <f>E1059*1.454*0.2</f>
        <v>18.931080000000005</v>
      </c>
      <c r="U1059" s="9">
        <f>E1059*1.454*0.2</f>
        <v>18.931080000000005</v>
      </c>
      <c r="V1059" s="9">
        <f>E1059*1.454*0.2</f>
        <v>18.931080000000005</v>
      </c>
      <c r="W1059" s="9">
        <f>H1059*1.454</f>
        <v>0</v>
      </c>
      <c r="X1059" s="9">
        <f>K1059*1.454</f>
        <v>0</v>
      </c>
      <c r="Y1059" s="4">
        <f t="shared" si="155"/>
        <v>37.86216000000001</v>
      </c>
    </row>
    <row r="1060" spans="1:25" ht="12.75" customHeight="1" outlineLevel="2">
      <c r="A1060" s="170">
        <v>6</v>
      </c>
      <c r="B1060" s="162" t="s">
        <v>278</v>
      </c>
      <c r="C1060" s="162"/>
      <c r="D1060" s="162"/>
      <c r="E1060" s="162"/>
      <c r="F1060" s="162"/>
      <c r="G1060" s="162"/>
      <c r="H1060" s="162"/>
      <c r="I1060" s="162"/>
      <c r="J1060" s="162"/>
      <c r="K1060" s="162"/>
      <c r="L1060" s="162"/>
      <c r="M1060" s="162"/>
      <c r="N1060" s="162"/>
      <c r="O1060" s="162"/>
      <c r="P1060" s="162"/>
      <c r="Q1060" s="162"/>
      <c r="R1060" s="162"/>
      <c r="S1060" s="162"/>
      <c r="T1060" s="162"/>
      <c r="U1060" s="162"/>
      <c r="V1060" s="162"/>
      <c r="W1060" s="162"/>
      <c r="X1060" s="162"/>
      <c r="Y1060" s="4">
        <f t="shared" si="155"/>
        <v>0</v>
      </c>
    </row>
    <row r="1061" spans="1:25" ht="18" outlineLevel="2">
      <c r="A1061" s="170"/>
      <c r="B1061" s="5">
        <f>D1061+G1061+J1061</f>
        <v>10</v>
      </c>
      <c r="C1061" s="8">
        <f>E1061+H1061+K1061</f>
        <v>55.26666666666667</v>
      </c>
      <c r="D1061" s="5">
        <v>10</v>
      </c>
      <c r="E1061" s="8">
        <f>D1061*FORECAST(D1061,AA$7:AA$8,Z$7:Z$8)</f>
        <v>55.26666666666667</v>
      </c>
      <c r="F1061" s="5" t="s">
        <v>433</v>
      </c>
      <c r="G1061" s="5"/>
      <c r="H1061" s="5"/>
      <c r="I1061" s="5"/>
      <c r="J1061" s="5"/>
      <c r="K1061" s="5"/>
      <c r="L1061" s="5"/>
      <c r="M1061" s="5"/>
      <c r="N1061" s="5">
        <v>300</v>
      </c>
      <c r="O1061" s="8">
        <f>C1061/0.92</f>
        <v>60.072463768115945</v>
      </c>
      <c r="P1061" s="5"/>
      <c r="Q1061" s="5"/>
      <c r="R1061" s="8">
        <f>1.454*C1061</f>
        <v>80.35773333333334</v>
      </c>
      <c r="S1061" s="9">
        <f>E1061*1.454*0.4</f>
        <v>32.14309333333334</v>
      </c>
      <c r="T1061" s="9">
        <f>E1061*1.454*0.2</f>
        <v>16.07154666666667</v>
      </c>
      <c r="U1061" s="9">
        <f>E1061*1.454*0.2</f>
        <v>16.07154666666667</v>
      </c>
      <c r="V1061" s="9">
        <f>E1061*1.454*0.2</f>
        <v>16.07154666666667</v>
      </c>
      <c r="W1061" s="9">
        <f>H1061*1.454</f>
        <v>0</v>
      </c>
      <c r="X1061" s="9">
        <f>K1061*1.454</f>
        <v>0</v>
      </c>
      <c r="Y1061" s="4">
        <f t="shared" si="155"/>
        <v>32.14309333333334</v>
      </c>
    </row>
    <row r="1062" spans="1:25" ht="36" outlineLevel="2">
      <c r="A1062" s="6" t="s">
        <v>431</v>
      </c>
      <c r="B1062" s="7">
        <f>B1051+B1053+B1055+B1057+B1059+B1061</f>
        <v>73</v>
      </c>
      <c r="C1062" s="10">
        <f>C1051+C1053+C1055+C1057+C1059+C1061</f>
        <v>357.79333333333335</v>
      </c>
      <c r="D1062" s="7">
        <f>D1051+D1053+D1055+D1057+D1059+D1061</f>
        <v>73</v>
      </c>
      <c r="E1062" s="10">
        <f>E1051+E1053+E1055+E1057+E1059+E1061</f>
        <v>357.79333333333335</v>
      </c>
      <c r="F1062" s="7" t="s">
        <v>433</v>
      </c>
      <c r="G1062" s="7">
        <f>G1051+G1053+G1055+G1057+G1059+G1061</f>
        <v>0</v>
      </c>
      <c r="H1062" s="7">
        <f>H1051+H1053+H1055+H1057+H1059+H1061</f>
        <v>0</v>
      </c>
      <c r="I1062" s="7" t="s">
        <v>441</v>
      </c>
      <c r="J1062" s="7">
        <f aca="true" t="shared" si="164" ref="J1062:X1062">J1051+J1053+J1055+J1057+J1059+J1061</f>
        <v>0</v>
      </c>
      <c r="K1062" s="7">
        <f t="shared" si="164"/>
        <v>0</v>
      </c>
      <c r="L1062" s="7" t="s">
        <v>441</v>
      </c>
      <c r="M1062" s="7">
        <f t="shared" si="164"/>
        <v>0</v>
      </c>
      <c r="N1062" s="7">
        <f t="shared" si="164"/>
        <v>2200</v>
      </c>
      <c r="O1062" s="10">
        <f t="shared" si="164"/>
        <v>388.90579710144925</v>
      </c>
      <c r="P1062" s="7">
        <f t="shared" si="164"/>
        <v>0</v>
      </c>
      <c r="Q1062" s="7">
        <f t="shared" si="164"/>
        <v>0</v>
      </c>
      <c r="R1062" s="10">
        <f t="shared" si="164"/>
        <v>520.2315066666667</v>
      </c>
      <c r="S1062" s="10">
        <f t="shared" si="164"/>
        <v>208.09260266666672</v>
      </c>
      <c r="T1062" s="10">
        <f t="shared" si="164"/>
        <v>104.04630133333336</v>
      </c>
      <c r="U1062" s="10">
        <f t="shared" si="164"/>
        <v>104.04630133333336</v>
      </c>
      <c r="V1062" s="10">
        <f t="shared" si="164"/>
        <v>104.04630133333336</v>
      </c>
      <c r="W1062" s="10">
        <f t="shared" si="164"/>
        <v>0</v>
      </c>
      <c r="X1062" s="10">
        <f t="shared" si="164"/>
        <v>0</v>
      </c>
      <c r="Y1062" s="4">
        <f aca="true" t="shared" si="165" ref="Y1062:Y1123">U1062*2</f>
        <v>208.09260266666672</v>
      </c>
    </row>
    <row r="1063" spans="1:25" ht="12.75" customHeight="1" outlineLevel="2">
      <c r="A1063" s="170">
        <v>1</v>
      </c>
      <c r="B1063" s="162" t="s">
        <v>279</v>
      </c>
      <c r="C1063" s="162"/>
      <c r="D1063" s="162"/>
      <c r="E1063" s="162"/>
      <c r="F1063" s="162"/>
      <c r="G1063" s="162"/>
      <c r="H1063" s="162"/>
      <c r="I1063" s="162"/>
      <c r="J1063" s="162"/>
      <c r="K1063" s="162"/>
      <c r="L1063" s="162"/>
      <c r="M1063" s="162"/>
      <c r="N1063" s="162"/>
      <c r="O1063" s="162"/>
      <c r="P1063" s="162"/>
      <c r="Q1063" s="162"/>
      <c r="R1063" s="162"/>
      <c r="S1063" s="162"/>
      <c r="T1063" s="162"/>
      <c r="U1063" s="162"/>
      <c r="V1063" s="162"/>
      <c r="W1063" s="162"/>
      <c r="X1063" s="162"/>
      <c r="Y1063" s="4">
        <f t="shared" si="165"/>
        <v>0</v>
      </c>
    </row>
    <row r="1064" spans="1:25" ht="18" outlineLevel="2">
      <c r="A1064" s="170"/>
      <c r="B1064" s="5">
        <f>D1064+G1064+J1064</f>
        <v>9</v>
      </c>
      <c r="C1064" s="8">
        <f>E1064+H1064+K1064</f>
        <v>52.290000000000006</v>
      </c>
      <c r="D1064" s="5">
        <v>9</v>
      </c>
      <c r="E1064" s="8">
        <f>D1064*FORECAST(D1064,AA$7:AA$8,Z$7:Z$8)</f>
        <v>52.290000000000006</v>
      </c>
      <c r="F1064" s="5" t="s">
        <v>433</v>
      </c>
      <c r="G1064" s="5"/>
      <c r="H1064" s="5"/>
      <c r="I1064" s="5"/>
      <c r="J1064" s="5"/>
      <c r="K1064" s="5"/>
      <c r="L1064" s="5"/>
      <c r="M1064" s="5"/>
      <c r="N1064" s="5">
        <v>250</v>
      </c>
      <c r="O1064" s="8">
        <f>C1064/0.92</f>
        <v>56.83695652173913</v>
      </c>
      <c r="P1064" s="5"/>
      <c r="Q1064" s="5"/>
      <c r="R1064" s="8">
        <f>1.454*C1064</f>
        <v>76.02966</v>
      </c>
      <c r="S1064" s="9">
        <f>E1064*1.454*0.4</f>
        <v>30.411864000000005</v>
      </c>
      <c r="T1064" s="9">
        <f>E1064*1.454*0.2</f>
        <v>15.205932000000002</v>
      </c>
      <c r="U1064" s="9">
        <f>E1064*1.454*0.2</f>
        <v>15.205932000000002</v>
      </c>
      <c r="V1064" s="9">
        <f>E1064*1.454*0.2</f>
        <v>15.205932000000002</v>
      </c>
      <c r="W1064" s="9">
        <f>H1064*1.454</f>
        <v>0</v>
      </c>
      <c r="X1064" s="9">
        <f>K1064*1.454</f>
        <v>0</v>
      </c>
      <c r="Y1064" s="4">
        <f t="shared" si="165"/>
        <v>30.411864000000005</v>
      </c>
    </row>
    <row r="1065" spans="1:25" ht="12.75" customHeight="1" outlineLevel="2">
      <c r="A1065" s="170">
        <v>1</v>
      </c>
      <c r="B1065" s="162" t="s">
        <v>280</v>
      </c>
      <c r="C1065" s="162"/>
      <c r="D1065" s="162"/>
      <c r="E1065" s="162"/>
      <c r="F1065" s="162"/>
      <c r="G1065" s="162"/>
      <c r="H1065" s="162"/>
      <c r="I1065" s="162"/>
      <c r="J1065" s="162"/>
      <c r="K1065" s="162"/>
      <c r="L1065" s="162"/>
      <c r="M1065" s="162"/>
      <c r="N1065" s="162"/>
      <c r="O1065" s="162"/>
      <c r="P1065" s="162"/>
      <c r="Q1065" s="162"/>
      <c r="R1065" s="162"/>
      <c r="S1065" s="162"/>
      <c r="T1065" s="162"/>
      <c r="U1065" s="162"/>
      <c r="V1065" s="162"/>
      <c r="W1065" s="162"/>
      <c r="X1065" s="162"/>
      <c r="Y1065" s="4">
        <f t="shared" si="165"/>
        <v>0</v>
      </c>
    </row>
    <row r="1066" spans="1:25" ht="18" outlineLevel="2">
      <c r="A1066" s="170"/>
      <c r="B1066" s="5">
        <f>D1066+G1066+J1066</f>
        <v>15</v>
      </c>
      <c r="C1066" s="5">
        <f>E1066+H1066+K1066</f>
        <v>65.10000000000001</v>
      </c>
      <c r="D1066" s="5">
        <v>15</v>
      </c>
      <c r="E1066" s="8">
        <f>D1066*FORECAST(D1066,AA$8:AA$9,Z$8:Z$9)</f>
        <v>65.10000000000001</v>
      </c>
      <c r="F1066" s="5" t="s">
        <v>433</v>
      </c>
      <c r="G1066" s="5"/>
      <c r="H1066" s="5"/>
      <c r="I1066" s="5"/>
      <c r="J1066" s="5"/>
      <c r="K1066" s="5"/>
      <c r="L1066" s="5"/>
      <c r="M1066" s="5"/>
      <c r="N1066" s="5">
        <v>500</v>
      </c>
      <c r="O1066" s="8">
        <f>C1066/0.92</f>
        <v>70.76086956521739</v>
      </c>
      <c r="P1066" s="5"/>
      <c r="Q1066" s="5"/>
      <c r="R1066" s="8">
        <f>1.454*C1066</f>
        <v>94.65540000000001</v>
      </c>
      <c r="S1066" s="9">
        <f>E1066*1.454*0.4</f>
        <v>37.86216000000001</v>
      </c>
      <c r="T1066" s="9">
        <f>E1066*1.454*0.2</f>
        <v>18.931080000000005</v>
      </c>
      <c r="U1066" s="9">
        <f>E1066*1.454*0.2</f>
        <v>18.931080000000005</v>
      </c>
      <c r="V1066" s="9">
        <f>E1066*1.454*0.2</f>
        <v>18.931080000000005</v>
      </c>
      <c r="W1066" s="9">
        <f>H1066*1.454</f>
        <v>0</v>
      </c>
      <c r="X1066" s="9">
        <f>K1066*1.454</f>
        <v>0</v>
      </c>
      <c r="Y1066" s="4">
        <f t="shared" si="165"/>
        <v>37.86216000000001</v>
      </c>
    </row>
    <row r="1067" spans="1:25" ht="12.75" customHeight="1" outlineLevel="2">
      <c r="A1067" s="170">
        <v>1</v>
      </c>
      <c r="B1067" s="162" t="s">
        <v>281</v>
      </c>
      <c r="C1067" s="162"/>
      <c r="D1067" s="162"/>
      <c r="E1067" s="162"/>
      <c r="F1067" s="162"/>
      <c r="G1067" s="162"/>
      <c r="H1067" s="162"/>
      <c r="I1067" s="162"/>
      <c r="J1067" s="162"/>
      <c r="K1067" s="162"/>
      <c r="L1067" s="162"/>
      <c r="M1067" s="162"/>
      <c r="N1067" s="162"/>
      <c r="O1067" s="162"/>
      <c r="P1067" s="162"/>
      <c r="Q1067" s="162"/>
      <c r="R1067" s="162"/>
      <c r="S1067" s="162"/>
      <c r="T1067" s="162"/>
      <c r="U1067" s="162"/>
      <c r="V1067" s="162"/>
      <c r="W1067" s="162"/>
      <c r="X1067" s="162"/>
      <c r="Y1067" s="4">
        <f t="shared" si="165"/>
        <v>0</v>
      </c>
    </row>
    <row r="1068" spans="1:25" ht="18" outlineLevel="2">
      <c r="A1068" s="170"/>
      <c r="B1068" s="5">
        <f>D1068+G1068+J1068</f>
        <v>60</v>
      </c>
      <c r="C1068" s="5">
        <f>E1068+H1068+K1068</f>
        <v>142.79999999999998</v>
      </c>
      <c r="D1068" s="5">
        <v>60</v>
      </c>
      <c r="E1068" s="8">
        <f>D1068*FORECAST(D1068,AA$12:AA$13,Z$12:Z$13)</f>
        <v>142.79999999999998</v>
      </c>
      <c r="F1068" s="5" t="s">
        <v>433</v>
      </c>
      <c r="G1068" s="5"/>
      <c r="H1068" s="5"/>
      <c r="I1068" s="5"/>
      <c r="J1068" s="5"/>
      <c r="K1068" s="5"/>
      <c r="L1068" s="5"/>
      <c r="M1068" s="5"/>
      <c r="N1068" s="5">
        <v>1200</v>
      </c>
      <c r="O1068" s="8">
        <f>C1068/0.92</f>
        <v>155.2173913043478</v>
      </c>
      <c r="P1068" s="5">
        <v>1</v>
      </c>
      <c r="Q1068" s="5">
        <v>160</v>
      </c>
      <c r="R1068" s="8">
        <f>1.454*C1068</f>
        <v>207.63119999999998</v>
      </c>
      <c r="S1068" s="9">
        <f>E1068*1.454*0.4</f>
        <v>83.05248</v>
      </c>
      <c r="T1068" s="9">
        <f>E1068*1.454*0.2</f>
        <v>41.52624</v>
      </c>
      <c r="U1068" s="9">
        <f>E1068*1.454*0.2</f>
        <v>41.52624</v>
      </c>
      <c r="V1068" s="9">
        <f>E1068*1.454*0.2</f>
        <v>41.52624</v>
      </c>
      <c r="W1068" s="9">
        <f>H1068*1.454</f>
        <v>0</v>
      </c>
      <c r="X1068" s="9">
        <f>K1068*1.454</f>
        <v>0</v>
      </c>
      <c r="Y1068" s="4">
        <f t="shared" si="165"/>
        <v>83.05248</v>
      </c>
    </row>
    <row r="1069" spans="1:25" ht="12.75" customHeight="1" outlineLevel="2">
      <c r="A1069" s="170">
        <v>1</v>
      </c>
      <c r="B1069" s="162" t="s">
        <v>282</v>
      </c>
      <c r="C1069" s="162"/>
      <c r="D1069" s="162"/>
      <c r="E1069" s="162"/>
      <c r="F1069" s="162"/>
      <c r="G1069" s="162"/>
      <c r="H1069" s="162"/>
      <c r="I1069" s="162"/>
      <c r="J1069" s="162"/>
      <c r="K1069" s="162"/>
      <c r="L1069" s="162"/>
      <c r="M1069" s="162"/>
      <c r="N1069" s="162"/>
      <c r="O1069" s="162"/>
      <c r="P1069" s="162"/>
      <c r="Q1069" s="162"/>
      <c r="R1069" s="162"/>
      <c r="S1069" s="162"/>
      <c r="T1069" s="162"/>
      <c r="U1069" s="162"/>
      <c r="V1069" s="162"/>
      <c r="W1069" s="162"/>
      <c r="X1069" s="162"/>
      <c r="Y1069" s="4">
        <f t="shared" si="165"/>
        <v>0</v>
      </c>
    </row>
    <row r="1070" spans="1:25" ht="18" outlineLevel="2">
      <c r="A1070" s="170"/>
      <c r="B1070" s="5">
        <f>D1070+G1070+J1070</f>
        <v>30</v>
      </c>
      <c r="C1070" s="8">
        <f>E1070+H1070+K1070</f>
        <v>92.73749999999998</v>
      </c>
      <c r="D1070" s="5">
        <v>30</v>
      </c>
      <c r="E1070" s="8">
        <f>D1070*FORECAST(D1070,AA$11:AA$12,Z$11:Z$12)</f>
        <v>92.73749999999998</v>
      </c>
      <c r="F1070" s="5" t="s">
        <v>433</v>
      </c>
      <c r="G1070" s="5"/>
      <c r="H1070" s="5"/>
      <c r="I1070" s="5"/>
      <c r="J1070" s="5"/>
      <c r="K1070" s="5"/>
      <c r="L1070" s="5"/>
      <c r="M1070" s="5"/>
      <c r="N1070" s="5">
        <v>750</v>
      </c>
      <c r="O1070" s="8">
        <f>C1070/0.92</f>
        <v>100.80163043478258</v>
      </c>
      <c r="P1070" s="5"/>
      <c r="Q1070" s="5"/>
      <c r="R1070" s="8">
        <f>1.454*C1070</f>
        <v>134.84032499999998</v>
      </c>
      <c r="S1070" s="9">
        <f>E1070*1.454*0.4</f>
        <v>53.93612999999999</v>
      </c>
      <c r="T1070" s="9">
        <f>E1070*1.454*0.2</f>
        <v>26.968064999999996</v>
      </c>
      <c r="U1070" s="9">
        <f>E1070*1.454*0.2</f>
        <v>26.968064999999996</v>
      </c>
      <c r="V1070" s="9">
        <f>E1070*1.454*0.2</f>
        <v>26.968064999999996</v>
      </c>
      <c r="W1070" s="9">
        <f>H1070*1.454</f>
        <v>0</v>
      </c>
      <c r="X1070" s="9">
        <f>K1070*1.454</f>
        <v>0</v>
      </c>
      <c r="Y1070" s="4">
        <f t="shared" si="165"/>
        <v>53.93612999999999</v>
      </c>
    </row>
    <row r="1071" spans="1:25" ht="12.75" customHeight="1" outlineLevel="2">
      <c r="A1071" s="170">
        <v>1</v>
      </c>
      <c r="B1071" s="162" t="s">
        <v>283</v>
      </c>
      <c r="C1071" s="162"/>
      <c r="D1071" s="162"/>
      <c r="E1071" s="162"/>
      <c r="F1071" s="162"/>
      <c r="G1071" s="162"/>
      <c r="H1071" s="162"/>
      <c r="I1071" s="162"/>
      <c r="J1071" s="162"/>
      <c r="K1071" s="162"/>
      <c r="L1071" s="162"/>
      <c r="M1071" s="162"/>
      <c r="N1071" s="162"/>
      <c r="O1071" s="162"/>
      <c r="P1071" s="162"/>
      <c r="Q1071" s="162"/>
      <c r="R1071" s="162"/>
      <c r="S1071" s="162"/>
      <c r="T1071" s="162"/>
      <c r="U1071" s="162"/>
      <c r="V1071" s="162"/>
      <c r="W1071" s="162"/>
      <c r="X1071" s="162"/>
      <c r="Y1071" s="4">
        <f t="shared" si="165"/>
        <v>0</v>
      </c>
    </row>
    <row r="1072" spans="1:25" ht="18" outlineLevel="2">
      <c r="A1072" s="170"/>
      <c r="B1072" s="5">
        <f>D1072+G1072+J1072</f>
        <v>20</v>
      </c>
      <c r="C1072" s="5">
        <f>E1072+H1072+K1072</f>
        <v>74.6</v>
      </c>
      <c r="D1072" s="5">
        <v>20</v>
      </c>
      <c r="E1072" s="8">
        <f>D1072*FORECAST(D1072,AA$10:AA$11,Z$10:Z$11)</f>
        <v>74.6</v>
      </c>
      <c r="F1072" s="5" t="s">
        <v>433</v>
      </c>
      <c r="G1072" s="5"/>
      <c r="H1072" s="5"/>
      <c r="I1072" s="5"/>
      <c r="J1072" s="5"/>
      <c r="K1072" s="5"/>
      <c r="L1072" s="5"/>
      <c r="M1072" s="5"/>
      <c r="N1072" s="5">
        <v>1300</v>
      </c>
      <c r="O1072" s="8">
        <f>C1072/0.92</f>
        <v>81.08695652173913</v>
      </c>
      <c r="P1072" s="5">
        <v>1</v>
      </c>
      <c r="Q1072" s="5">
        <v>250</v>
      </c>
      <c r="R1072" s="8">
        <f>1.454*C1072</f>
        <v>108.46839999999999</v>
      </c>
      <c r="S1072" s="9">
        <f>E1072*1.454*0.4</f>
        <v>43.38736</v>
      </c>
      <c r="T1072" s="9">
        <f>E1072*1.454*0.2</f>
        <v>21.69368</v>
      </c>
      <c r="U1072" s="9">
        <f>E1072*1.454*0.2</f>
        <v>21.69368</v>
      </c>
      <c r="V1072" s="9">
        <f>E1072*1.454*0.2</f>
        <v>21.69368</v>
      </c>
      <c r="W1072" s="9">
        <f>H1072*1.454</f>
        <v>0</v>
      </c>
      <c r="X1072" s="9">
        <f>K1072*1.454</f>
        <v>0</v>
      </c>
      <c r="Y1072" s="4">
        <f t="shared" si="165"/>
        <v>43.38736</v>
      </c>
    </row>
    <row r="1073" spans="1:25" ht="12.75" customHeight="1" outlineLevel="2">
      <c r="A1073" s="170">
        <v>2</v>
      </c>
      <c r="B1073" s="162" t="s">
        <v>284</v>
      </c>
      <c r="C1073" s="162"/>
      <c r="D1073" s="162"/>
      <c r="E1073" s="162"/>
      <c r="F1073" s="162"/>
      <c r="G1073" s="162"/>
      <c r="H1073" s="162"/>
      <c r="I1073" s="162"/>
      <c r="J1073" s="162"/>
      <c r="K1073" s="162"/>
      <c r="L1073" s="162"/>
      <c r="M1073" s="162"/>
      <c r="N1073" s="162"/>
      <c r="O1073" s="162"/>
      <c r="P1073" s="162"/>
      <c r="Q1073" s="162"/>
      <c r="R1073" s="162"/>
      <c r="S1073" s="162"/>
      <c r="T1073" s="162"/>
      <c r="U1073" s="162"/>
      <c r="V1073" s="162"/>
      <c r="W1073" s="162"/>
      <c r="X1073" s="162"/>
      <c r="Y1073" s="4">
        <f t="shared" si="165"/>
        <v>0</v>
      </c>
    </row>
    <row r="1074" spans="1:25" ht="18" outlineLevel="2">
      <c r="A1074" s="170"/>
      <c r="B1074" s="5">
        <f>D1074+G1074+J1074</f>
        <v>69</v>
      </c>
      <c r="C1074" s="8">
        <f>E1074+H1074+K1074</f>
        <v>160.8045</v>
      </c>
      <c r="D1074" s="5">
        <v>69</v>
      </c>
      <c r="E1074" s="8">
        <f>D1074*FORECAST(D1074,AA$13:AA$14,Z$13:Z$14)</f>
        <v>160.8045</v>
      </c>
      <c r="F1074" s="5" t="s">
        <v>433</v>
      </c>
      <c r="G1074" s="5"/>
      <c r="H1074" s="5"/>
      <c r="I1074" s="5"/>
      <c r="J1074" s="5"/>
      <c r="K1074" s="5"/>
      <c r="L1074" s="5"/>
      <c r="M1074" s="5"/>
      <c r="N1074" s="5">
        <v>2000</v>
      </c>
      <c r="O1074" s="8">
        <f>C1074/0.92</f>
        <v>174.7875</v>
      </c>
      <c r="P1074" s="5"/>
      <c r="Q1074" s="5"/>
      <c r="R1074" s="8">
        <f>1.454*C1074</f>
        <v>233.80974299999997</v>
      </c>
      <c r="S1074" s="9">
        <f>E1074*1.454*0.4</f>
        <v>93.5238972</v>
      </c>
      <c r="T1074" s="9">
        <f>E1074*1.454*0.2</f>
        <v>46.7619486</v>
      </c>
      <c r="U1074" s="9">
        <f>E1074*1.454*0.2</f>
        <v>46.7619486</v>
      </c>
      <c r="V1074" s="9">
        <f>E1074*1.454*0.2</f>
        <v>46.7619486</v>
      </c>
      <c r="W1074" s="9">
        <f>H1074*1.454</f>
        <v>0</v>
      </c>
      <c r="X1074" s="9">
        <f>K1074*1.454</f>
        <v>0</v>
      </c>
      <c r="Y1074" s="4">
        <f t="shared" si="165"/>
        <v>93.5238972</v>
      </c>
    </row>
    <row r="1075" spans="1:25" ht="36" outlineLevel="2">
      <c r="A1075" s="6" t="s">
        <v>431</v>
      </c>
      <c r="B1075" s="7">
        <f>B1072+B1074</f>
        <v>89</v>
      </c>
      <c r="C1075" s="10">
        <f>C1072+C1074</f>
        <v>235.40449999999998</v>
      </c>
      <c r="D1075" s="7">
        <f>D1072+D1074</f>
        <v>89</v>
      </c>
      <c r="E1075" s="10">
        <f>E1072+E1074</f>
        <v>235.40449999999998</v>
      </c>
      <c r="F1075" s="7" t="s">
        <v>433</v>
      </c>
      <c r="G1075" s="7">
        <f>G1072+G1074</f>
        <v>0</v>
      </c>
      <c r="H1075" s="7">
        <f>H1072+H1074</f>
        <v>0</v>
      </c>
      <c r="I1075" s="7" t="s">
        <v>441</v>
      </c>
      <c r="J1075" s="7">
        <f>J1072+J1074</f>
        <v>0</v>
      </c>
      <c r="K1075" s="7">
        <f>K1072+K1074</f>
        <v>0</v>
      </c>
      <c r="L1075" s="7" t="s">
        <v>441</v>
      </c>
      <c r="M1075" s="7">
        <f aca="true" t="shared" si="166" ref="M1075:X1075">M1072+M1074</f>
        <v>0</v>
      </c>
      <c r="N1075" s="7">
        <f t="shared" si="166"/>
        <v>3300</v>
      </c>
      <c r="O1075" s="10">
        <f t="shared" si="166"/>
        <v>255.87445652173912</v>
      </c>
      <c r="P1075" s="7">
        <f t="shared" si="166"/>
        <v>1</v>
      </c>
      <c r="Q1075" s="7">
        <f t="shared" si="166"/>
        <v>250</v>
      </c>
      <c r="R1075" s="10">
        <f t="shared" si="166"/>
        <v>342.27814299999994</v>
      </c>
      <c r="S1075" s="10">
        <f t="shared" si="166"/>
        <v>136.9112572</v>
      </c>
      <c r="T1075" s="10">
        <f t="shared" si="166"/>
        <v>68.4556286</v>
      </c>
      <c r="U1075" s="10">
        <f t="shared" si="166"/>
        <v>68.4556286</v>
      </c>
      <c r="V1075" s="10">
        <f t="shared" si="166"/>
        <v>68.4556286</v>
      </c>
      <c r="W1075" s="10">
        <f t="shared" si="166"/>
        <v>0</v>
      </c>
      <c r="X1075" s="10">
        <f t="shared" si="166"/>
        <v>0</v>
      </c>
      <c r="Y1075" s="4">
        <f t="shared" si="165"/>
        <v>136.9112572</v>
      </c>
    </row>
    <row r="1076" spans="1:25" ht="12.75" customHeight="1" outlineLevel="2">
      <c r="A1076" s="170">
        <v>1</v>
      </c>
      <c r="B1076" s="162" t="s">
        <v>678</v>
      </c>
      <c r="C1076" s="162"/>
      <c r="D1076" s="162"/>
      <c r="E1076" s="162"/>
      <c r="F1076" s="162"/>
      <c r="G1076" s="162"/>
      <c r="H1076" s="162"/>
      <c r="I1076" s="162"/>
      <c r="J1076" s="162"/>
      <c r="K1076" s="162"/>
      <c r="L1076" s="162"/>
      <c r="M1076" s="162"/>
      <c r="N1076" s="162"/>
      <c r="O1076" s="162"/>
      <c r="P1076" s="162"/>
      <c r="Q1076" s="162"/>
      <c r="R1076" s="162"/>
      <c r="S1076" s="162"/>
      <c r="T1076" s="162"/>
      <c r="U1076" s="162"/>
      <c r="V1076" s="162"/>
      <c r="W1076" s="162"/>
      <c r="X1076" s="162"/>
      <c r="Y1076" s="4">
        <f t="shared" si="165"/>
        <v>0</v>
      </c>
    </row>
    <row r="1077" spans="1:25" ht="18" outlineLevel="2">
      <c r="A1077" s="170"/>
      <c r="B1077" s="5">
        <f>D1077+G1077+J1077</f>
        <v>40</v>
      </c>
      <c r="C1077" s="5">
        <f>E1077+H1077+K1077</f>
        <v>106.4</v>
      </c>
      <c r="D1077" s="5">
        <v>40</v>
      </c>
      <c r="E1077" s="8">
        <f>D1077*FORECAST(D1077,AA$11:AA$12,Z$11:Z$12)</f>
        <v>106.4</v>
      </c>
      <c r="F1077" s="5" t="s">
        <v>433</v>
      </c>
      <c r="G1077" s="5"/>
      <c r="H1077" s="5"/>
      <c r="I1077" s="5"/>
      <c r="J1077" s="5"/>
      <c r="K1077" s="5"/>
      <c r="L1077" s="5"/>
      <c r="M1077" s="5"/>
      <c r="N1077" s="5">
        <v>450</v>
      </c>
      <c r="O1077" s="8">
        <f>C1077/0.92</f>
        <v>115.65217391304348</v>
      </c>
      <c r="P1077" s="5"/>
      <c r="Q1077" s="5"/>
      <c r="R1077" s="8">
        <f>1.454*C1077</f>
        <v>154.7056</v>
      </c>
      <c r="S1077" s="9">
        <f>E1077*1.454*0.4</f>
        <v>61.88224</v>
      </c>
      <c r="T1077" s="9">
        <f>E1077*1.454*0.2</f>
        <v>30.94112</v>
      </c>
      <c r="U1077" s="9">
        <f>E1077*1.454*0.2</f>
        <v>30.94112</v>
      </c>
      <c r="V1077" s="9">
        <f>E1077*1.454*0.2</f>
        <v>30.94112</v>
      </c>
      <c r="W1077" s="9">
        <f>H1077*1.454</f>
        <v>0</v>
      </c>
      <c r="X1077" s="9">
        <f>K1077*1.454</f>
        <v>0</v>
      </c>
      <c r="Y1077" s="4">
        <f t="shared" si="165"/>
        <v>61.88224</v>
      </c>
    </row>
    <row r="1078" spans="1:25" ht="12.75" customHeight="1" outlineLevel="2">
      <c r="A1078" s="170">
        <v>1</v>
      </c>
      <c r="B1078" s="162" t="s">
        <v>285</v>
      </c>
      <c r="C1078" s="162"/>
      <c r="D1078" s="162"/>
      <c r="E1078" s="162"/>
      <c r="F1078" s="162"/>
      <c r="G1078" s="162"/>
      <c r="H1078" s="162"/>
      <c r="I1078" s="162"/>
      <c r="J1078" s="162"/>
      <c r="K1078" s="162"/>
      <c r="L1078" s="162"/>
      <c r="M1078" s="162"/>
      <c r="N1078" s="162"/>
      <c r="O1078" s="162"/>
      <c r="P1078" s="162"/>
      <c r="Q1078" s="162"/>
      <c r="R1078" s="162"/>
      <c r="S1078" s="162"/>
      <c r="T1078" s="162"/>
      <c r="U1078" s="162"/>
      <c r="V1078" s="162"/>
      <c r="W1078" s="162"/>
      <c r="X1078" s="162"/>
      <c r="Y1078" s="4">
        <f t="shared" si="165"/>
        <v>0</v>
      </c>
    </row>
    <row r="1079" spans="1:25" ht="18" outlineLevel="2">
      <c r="A1079" s="170"/>
      <c r="B1079" s="5">
        <f>D1079+G1079+J1079</f>
        <v>12</v>
      </c>
      <c r="C1079" s="8">
        <f>E1079+H1079+K1079</f>
        <v>59.52000000000001</v>
      </c>
      <c r="D1079" s="5">
        <v>12</v>
      </c>
      <c r="E1079" s="8">
        <f>D1079*FORECAST(D1079,AA$7:AA$8,Z$7:Z$8)</f>
        <v>59.52000000000001</v>
      </c>
      <c r="F1079" s="5" t="s">
        <v>433</v>
      </c>
      <c r="G1079" s="5"/>
      <c r="H1079" s="5"/>
      <c r="I1079" s="5"/>
      <c r="J1079" s="5"/>
      <c r="K1079" s="5"/>
      <c r="L1079" s="5"/>
      <c r="M1079" s="5"/>
      <c r="N1079" s="5">
        <v>260</v>
      </c>
      <c r="O1079" s="8">
        <f>C1079/0.92</f>
        <v>64.69565217391305</v>
      </c>
      <c r="P1079" s="5"/>
      <c r="Q1079" s="5"/>
      <c r="R1079" s="8">
        <f>1.454*C1079</f>
        <v>86.54208000000001</v>
      </c>
      <c r="S1079" s="9">
        <f>E1079*1.454*0.4</f>
        <v>34.61683200000001</v>
      </c>
      <c r="T1079" s="9">
        <f>E1079*1.454*0.2</f>
        <v>17.308416000000005</v>
      </c>
      <c r="U1079" s="9">
        <f>E1079*1.454*0.2</f>
        <v>17.308416000000005</v>
      </c>
      <c r="V1079" s="9">
        <f>E1079*1.454*0.2</f>
        <v>17.308416000000005</v>
      </c>
      <c r="W1079" s="9">
        <f>H1079*1.454</f>
        <v>0</v>
      </c>
      <c r="X1079" s="9">
        <f>K1079*1.454</f>
        <v>0</v>
      </c>
      <c r="Y1079" s="4">
        <f t="shared" si="165"/>
        <v>34.61683200000001</v>
      </c>
    </row>
    <row r="1080" spans="1:25" ht="12.75" customHeight="1" outlineLevel="2">
      <c r="A1080" s="170">
        <v>2</v>
      </c>
      <c r="B1080" s="147" t="s">
        <v>286</v>
      </c>
      <c r="C1080" s="147"/>
      <c r="D1080" s="147"/>
      <c r="E1080" s="147"/>
      <c r="F1080" s="147"/>
      <c r="G1080" s="147"/>
      <c r="H1080" s="147"/>
      <c r="I1080" s="147"/>
      <c r="J1080" s="147"/>
      <c r="K1080" s="147"/>
      <c r="L1080" s="147"/>
      <c r="M1080" s="147"/>
      <c r="N1080" s="147"/>
      <c r="O1080" s="147"/>
      <c r="P1080" s="147"/>
      <c r="Q1080" s="147"/>
      <c r="R1080" s="147"/>
      <c r="S1080" s="147"/>
      <c r="T1080" s="147"/>
      <c r="U1080" s="147"/>
      <c r="V1080" s="147"/>
      <c r="W1080" s="147"/>
      <c r="X1080" s="147"/>
      <c r="Y1080" s="4">
        <f t="shared" si="165"/>
        <v>0</v>
      </c>
    </row>
    <row r="1081" spans="1:25" ht="18" outlineLevel="2">
      <c r="A1081" s="170"/>
      <c r="B1081" s="5">
        <f>D1081+G1081+J1081</f>
        <v>14</v>
      </c>
      <c r="C1081" s="8">
        <f>E1081+H1081+K1081</f>
        <v>63.65333333333335</v>
      </c>
      <c r="D1081" s="5">
        <v>14</v>
      </c>
      <c r="E1081" s="8">
        <f>D1081*FORECAST(D1081,AA$8:AA$9,Z$8:Z$9)</f>
        <v>63.65333333333335</v>
      </c>
      <c r="F1081" s="5" t="s">
        <v>433</v>
      </c>
      <c r="G1081" s="5"/>
      <c r="H1081" s="5"/>
      <c r="I1081" s="5"/>
      <c r="J1081" s="5"/>
      <c r="K1081" s="5"/>
      <c r="L1081" s="5"/>
      <c r="M1081" s="5"/>
      <c r="N1081" s="5">
        <v>260</v>
      </c>
      <c r="O1081" s="8">
        <f>C1081/0.92</f>
        <v>69.18840579710147</v>
      </c>
      <c r="P1081" s="5"/>
      <c r="Q1081" s="5"/>
      <c r="R1081" s="8">
        <f>1.454*C1081</f>
        <v>92.5519466666667</v>
      </c>
      <c r="S1081" s="9">
        <f>E1081*1.454*0.4</f>
        <v>37.02077866666668</v>
      </c>
      <c r="T1081" s="9">
        <f>E1081*1.454*0.2</f>
        <v>18.51038933333334</v>
      </c>
      <c r="U1081" s="9">
        <f>E1081*1.454*0.2</f>
        <v>18.51038933333334</v>
      </c>
      <c r="V1081" s="9">
        <f>E1081*1.454*0.2</f>
        <v>18.51038933333334</v>
      </c>
      <c r="W1081" s="9">
        <f>H1081*1.454</f>
        <v>0</v>
      </c>
      <c r="X1081" s="9">
        <f>K1081*1.454</f>
        <v>0</v>
      </c>
      <c r="Y1081" s="4">
        <f t="shared" si="165"/>
        <v>37.02077866666668</v>
      </c>
    </row>
    <row r="1082" spans="1:25" ht="12.75" customHeight="1" outlineLevel="2">
      <c r="A1082" s="170">
        <v>3</v>
      </c>
      <c r="B1082" s="162" t="s">
        <v>287</v>
      </c>
      <c r="C1082" s="162"/>
      <c r="D1082" s="162"/>
      <c r="E1082" s="162"/>
      <c r="F1082" s="162"/>
      <c r="G1082" s="162"/>
      <c r="H1082" s="162"/>
      <c r="I1082" s="162"/>
      <c r="J1082" s="162"/>
      <c r="K1082" s="162"/>
      <c r="L1082" s="162"/>
      <c r="M1082" s="162"/>
      <c r="N1082" s="162"/>
      <c r="O1082" s="162"/>
      <c r="P1082" s="162"/>
      <c r="Q1082" s="162"/>
      <c r="R1082" s="162"/>
      <c r="S1082" s="162"/>
      <c r="T1082" s="162"/>
      <c r="U1082" s="162"/>
      <c r="V1082" s="162"/>
      <c r="W1082" s="162"/>
      <c r="X1082" s="162"/>
      <c r="Y1082" s="4">
        <f t="shared" si="165"/>
        <v>0</v>
      </c>
    </row>
    <row r="1083" spans="1:25" ht="18" outlineLevel="2">
      <c r="A1083" s="170"/>
      <c r="B1083" s="5">
        <f>D1083+G1083+J1083</f>
        <v>6</v>
      </c>
      <c r="C1083" s="8">
        <f>E1083+H1083+K1083</f>
        <v>42.35999999999999</v>
      </c>
      <c r="D1083" s="5">
        <v>6</v>
      </c>
      <c r="E1083" s="8">
        <f>D1083*FORECAST(D1083,AA$6:AA$7,Z$6:Z$7)</f>
        <v>42.35999999999999</v>
      </c>
      <c r="F1083" s="5" t="s">
        <v>433</v>
      </c>
      <c r="G1083" s="5"/>
      <c r="H1083" s="5"/>
      <c r="I1083" s="5"/>
      <c r="J1083" s="5"/>
      <c r="K1083" s="5"/>
      <c r="L1083" s="5"/>
      <c r="M1083" s="5"/>
      <c r="N1083" s="5">
        <v>160</v>
      </c>
      <c r="O1083" s="8">
        <f>C1083/0.92</f>
        <v>46.043478260869556</v>
      </c>
      <c r="P1083" s="5"/>
      <c r="Q1083" s="5"/>
      <c r="R1083" s="8">
        <f>1.454*C1083</f>
        <v>61.591439999999984</v>
      </c>
      <c r="S1083" s="9">
        <f>E1083*1.454*0.4</f>
        <v>24.636575999999994</v>
      </c>
      <c r="T1083" s="9">
        <f>E1083*1.454*0.2</f>
        <v>12.318287999999997</v>
      </c>
      <c r="U1083" s="9">
        <f>E1083*1.454*0.2</f>
        <v>12.318287999999997</v>
      </c>
      <c r="V1083" s="9">
        <f>E1083*1.454*0.2</f>
        <v>12.318287999999997</v>
      </c>
      <c r="W1083" s="9">
        <f>H1083*1.454</f>
        <v>0</v>
      </c>
      <c r="X1083" s="9">
        <f>K1083*1.454</f>
        <v>0</v>
      </c>
      <c r="Y1083" s="4">
        <f t="shared" si="165"/>
        <v>24.636575999999994</v>
      </c>
    </row>
    <row r="1084" spans="1:25" ht="12.75" customHeight="1" outlineLevel="2">
      <c r="A1084" s="170">
        <v>4</v>
      </c>
      <c r="B1084" s="162" t="s">
        <v>288</v>
      </c>
      <c r="C1084" s="162"/>
      <c r="D1084" s="162"/>
      <c r="E1084" s="162"/>
      <c r="F1084" s="162"/>
      <c r="G1084" s="162"/>
      <c r="H1084" s="162"/>
      <c r="I1084" s="162"/>
      <c r="J1084" s="162"/>
      <c r="K1084" s="162"/>
      <c r="L1084" s="162"/>
      <c r="M1084" s="162"/>
      <c r="N1084" s="162"/>
      <c r="O1084" s="162"/>
      <c r="P1084" s="162"/>
      <c r="Q1084" s="162"/>
      <c r="R1084" s="162"/>
      <c r="S1084" s="162"/>
      <c r="T1084" s="162"/>
      <c r="U1084" s="162"/>
      <c r="V1084" s="162"/>
      <c r="W1084" s="162"/>
      <c r="X1084" s="162"/>
      <c r="Y1084" s="4">
        <f t="shared" si="165"/>
        <v>0</v>
      </c>
    </row>
    <row r="1085" spans="1:25" ht="18" outlineLevel="2">
      <c r="A1085" s="170"/>
      <c r="B1085" s="5">
        <f>D1085+G1085+J1085</f>
        <v>9</v>
      </c>
      <c r="C1085" s="8">
        <f>E1085+H1085+K1085</f>
        <v>52.290000000000006</v>
      </c>
      <c r="D1085" s="5">
        <v>9</v>
      </c>
      <c r="E1085" s="8">
        <f>D1085*FORECAST(D1085,AA$7:AA$8,Z$7:Z$8)</f>
        <v>52.290000000000006</v>
      </c>
      <c r="F1085" s="5" t="s">
        <v>433</v>
      </c>
      <c r="G1085" s="5"/>
      <c r="H1085" s="5"/>
      <c r="I1085" s="5"/>
      <c r="J1085" s="5"/>
      <c r="K1085" s="5"/>
      <c r="L1085" s="5"/>
      <c r="M1085" s="5"/>
      <c r="N1085" s="5">
        <v>383</v>
      </c>
      <c r="O1085" s="8">
        <f>C1085/0.92</f>
        <v>56.83695652173913</v>
      </c>
      <c r="P1085" s="5"/>
      <c r="Q1085" s="5"/>
      <c r="R1085" s="8">
        <f>1.454*C1085</f>
        <v>76.02966</v>
      </c>
      <c r="S1085" s="9">
        <f>E1085*1.454*0.4</f>
        <v>30.411864000000005</v>
      </c>
      <c r="T1085" s="9">
        <f>E1085*1.454*0.2</f>
        <v>15.205932000000002</v>
      </c>
      <c r="U1085" s="9">
        <f>E1085*1.454*0.2</f>
        <v>15.205932000000002</v>
      </c>
      <c r="V1085" s="9">
        <f>E1085*1.454*0.2</f>
        <v>15.205932000000002</v>
      </c>
      <c r="W1085" s="9">
        <f>H1085*1.454</f>
        <v>0</v>
      </c>
      <c r="X1085" s="9">
        <f>K1085*1.454</f>
        <v>0</v>
      </c>
      <c r="Y1085" s="4">
        <f t="shared" si="165"/>
        <v>30.411864000000005</v>
      </c>
    </row>
    <row r="1086" spans="1:25" ht="36" outlineLevel="2">
      <c r="A1086" s="6" t="s">
        <v>431</v>
      </c>
      <c r="B1086" s="7">
        <f>B1079+B1081+B1083+B1085</f>
        <v>41</v>
      </c>
      <c r="C1086" s="10">
        <f>C1079+C1081+C1083+C1085</f>
        <v>217.82333333333338</v>
      </c>
      <c r="D1086" s="7">
        <f>D1079+D1081+D1083+D1085</f>
        <v>41</v>
      </c>
      <c r="E1086" s="10">
        <f>E1079+E1081+E1083+E1085</f>
        <v>217.82333333333338</v>
      </c>
      <c r="F1086" s="7" t="s">
        <v>433</v>
      </c>
      <c r="G1086" s="7">
        <f>G1079+G1081+G1083+G1085</f>
        <v>0</v>
      </c>
      <c r="H1086" s="7">
        <f>H1079+H1081+H1083+H1085</f>
        <v>0</v>
      </c>
      <c r="I1086" s="7" t="s">
        <v>441</v>
      </c>
      <c r="J1086" s="7">
        <f>J1079+J1081+J1083+J1085</f>
        <v>0</v>
      </c>
      <c r="K1086" s="7">
        <f>K1079+K1081+K1083+K1085</f>
        <v>0</v>
      </c>
      <c r="L1086" s="7" t="s">
        <v>441</v>
      </c>
      <c r="M1086" s="7">
        <f aca="true" t="shared" si="167" ref="M1086:X1086">M1079+M1081+M1083+M1085</f>
        <v>0</v>
      </c>
      <c r="N1086" s="7">
        <f t="shared" si="167"/>
        <v>1063</v>
      </c>
      <c r="O1086" s="10">
        <f t="shared" si="167"/>
        <v>236.7644927536232</v>
      </c>
      <c r="P1086" s="7">
        <f t="shared" si="167"/>
        <v>0</v>
      </c>
      <c r="Q1086" s="7">
        <f t="shared" si="167"/>
        <v>0</v>
      </c>
      <c r="R1086" s="10">
        <f t="shared" si="167"/>
        <v>316.7151266666667</v>
      </c>
      <c r="S1086" s="10">
        <f t="shared" si="167"/>
        <v>126.68605066666669</v>
      </c>
      <c r="T1086" s="10">
        <f t="shared" si="167"/>
        <v>63.343025333333344</v>
      </c>
      <c r="U1086" s="10">
        <f t="shared" si="167"/>
        <v>63.343025333333344</v>
      </c>
      <c r="V1086" s="10">
        <f t="shared" si="167"/>
        <v>63.343025333333344</v>
      </c>
      <c r="W1086" s="10">
        <f t="shared" si="167"/>
        <v>0</v>
      </c>
      <c r="X1086" s="10">
        <f t="shared" si="167"/>
        <v>0</v>
      </c>
      <c r="Y1086" s="4">
        <f t="shared" si="165"/>
        <v>126.68605066666669</v>
      </c>
    </row>
    <row r="1087" spans="1:25" ht="12.75" customHeight="1" outlineLevel="2">
      <c r="A1087" s="170">
        <v>1</v>
      </c>
      <c r="B1087" s="162" t="s">
        <v>289</v>
      </c>
      <c r="C1087" s="162"/>
      <c r="D1087" s="162"/>
      <c r="E1087" s="162"/>
      <c r="F1087" s="162"/>
      <c r="G1087" s="162"/>
      <c r="H1087" s="162"/>
      <c r="I1087" s="162"/>
      <c r="J1087" s="162"/>
      <c r="K1087" s="162"/>
      <c r="L1087" s="162"/>
      <c r="M1087" s="162"/>
      <c r="N1087" s="162"/>
      <c r="O1087" s="162"/>
      <c r="P1087" s="162"/>
      <c r="Q1087" s="162"/>
      <c r="R1087" s="162"/>
      <c r="S1087" s="162"/>
      <c r="T1087" s="162"/>
      <c r="U1087" s="162"/>
      <c r="V1087" s="162"/>
      <c r="W1087" s="162"/>
      <c r="X1087" s="162"/>
      <c r="Y1087" s="4">
        <f t="shared" si="165"/>
        <v>0</v>
      </c>
    </row>
    <row r="1088" spans="1:25" ht="18" outlineLevel="2">
      <c r="A1088" s="170"/>
      <c r="B1088" s="5">
        <f>D1088+G1088+J1088</f>
        <v>40</v>
      </c>
      <c r="C1088" s="29">
        <f>E1088+H1088+K1088</f>
        <v>106.4</v>
      </c>
      <c r="D1088" s="5">
        <v>40</v>
      </c>
      <c r="E1088" s="8">
        <f>D1088*FORECAST(D1088,AA$11:AA$12,Z$11:Z$12)</f>
        <v>106.4</v>
      </c>
      <c r="F1088" s="5" t="s">
        <v>433</v>
      </c>
      <c r="G1088" s="5"/>
      <c r="H1088" s="5"/>
      <c r="I1088" s="5"/>
      <c r="J1088" s="5"/>
      <c r="K1088" s="5"/>
      <c r="L1088" s="5"/>
      <c r="M1088" s="5">
        <v>100</v>
      </c>
      <c r="N1088" s="5">
        <v>500</v>
      </c>
      <c r="O1088" s="8">
        <f>C1088/0.92</f>
        <v>115.65217391304348</v>
      </c>
      <c r="P1088" s="5">
        <v>1</v>
      </c>
      <c r="Q1088" s="5">
        <v>160</v>
      </c>
      <c r="R1088" s="8">
        <f>1.454*C1088</f>
        <v>154.7056</v>
      </c>
      <c r="S1088" s="9">
        <f>E1088*1.454*0.4</f>
        <v>61.88224</v>
      </c>
      <c r="T1088" s="9">
        <f>E1088*1.454*0.2</f>
        <v>30.94112</v>
      </c>
      <c r="U1088" s="9">
        <f>E1088*1.454*0.2</f>
        <v>30.94112</v>
      </c>
      <c r="V1088" s="9">
        <f>E1088*1.454*0.2</f>
        <v>30.94112</v>
      </c>
      <c r="W1088" s="9">
        <f>H1088*1.454</f>
        <v>0</v>
      </c>
      <c r="X1088" s="9">
        <f>K1088*1.454</f>
        <v>0</v>
      </c>
      <c r="Y1088" s="4">
        <f t="shared" si="165"/>
        <v>61.88224</v>
      </c>
    </row>
    <row r="1089" spans="1:25" ht="12.75" customHeight="1" outlineLevel="2">
      <c r="A1089" s="170">
        <v>1</v>
      </c>
      <c r="B1089" s="162" t="s">
        <v>290</v>
      </c>
      <c r="C1089" s="162"/>
      <c r="D1089" s="162"/>
      <c r="E1089" s="162"/>
      <c r="F1089" s="162"/>
      <c r="G1089" s="162"/>
      <c r="H1089" s="162"/>
      <c r="I1089" s="162"/>
      <c r="J1089" s="162"/>
      <c r="K1089" s="162"/>
      <c r="L1089" s="162"/>
      <c r="M1089" s="162"/>
      <c r="N1089" s="162"/>
      <c r="O1089" s="162"/>
      <c r="P1089" s="162"/>
      <c r="Q1089" s="162"/>
      <c r="R1089" s="162"/>
      <c r="S1089" s="162"/>
      <c r="T1089" s="162"/>
      <c r="U1089" s="162"/>
      <c r="V1089" s="162"/>
      <c r="W1089" s="162"/>
      <c r="X1089" s="162"/>
      <c r="Y1089" s="4">
        <f t="shared" si="165"/>
        <v>0</v>
      </c>
    </row>
    <row r="1090" spans="1:25" ht="18" outlineLevel="2">
      <c r="A1090" s="170"/>
      <c r="B1090" s="5">
        <f>D1090+G1090+J1090</f>
        <v>30</v>
      </c>
      <c r="C1090" s="29">
        <f>E1090+H1090+K1090</f>
        <v>92.73749999999998</v>
      </c>
      <c r="D1090" s="5">
        <v>30</v>
      </c>
      <c r="E1090" s="8">
        <f>D1090*FORECAST(D1090,AA$11:AA$12,Z$11:Z$12)</f>
        <v>92.73749999999998</v>
      </c>
      <c r="F1090" s="5" t="s">
        <v>433</v>
      </c>
      <c r="G1090" s="5"/>
      <c r="H1090" s="5"/>
      <c r="I1090" s="5"/>
      <c r="J1090" s="5"/>
      <c r="K1090" s="5"/>
      <c r="L1090" s="5"/>
      <c r="M1090" s="5">
        <v>100</v>
      </c>
      <c r="N1090" s="5">
        <v>300</v>
      </c>
      <c r="O1090" s="8">
        <f>C1090/0.92</f>
        <v>100.80163043478258</v>
      </c>
      <c r="P1090" s="5">
        <v>1</v>
      </c>
      <c r="Q1090" s="5">
        <v>100</v>
      </c>
      <c r="R1090" s="8">
        <f>1.454*C1090</f>
        <v>134.84032499999998</v>
      </c>
      <c r="S1090" s="9">
        <f>E1090*1.454*0.4</f>
        <v>53.93612999999999</v>
      </c>
      <c r="T1090" s="9">
        <f>E1090*1.454*0.2</f>
        <v>26.968064999999996</v>
      </c>
      <c r="U1090" s="9">
        <f>E1090*1.454*0.2</f>
        <v>26.968064999999996</v>
      </c>
      <c r="V1090" s="9">
        <f>E1090*1.454*0.2</f>
        <v>26.968064999999996</v>
      </c>
      <c r="W1090" s="9">
        <f>H1090*1.454</f>
        <v>0</v>
      </c>
      <c r="X1090" s="9">
        <f>K1090*1.454</f>
        <v>0</v>
      </c>
      <c r="Y1090" s="4">
        <f t="shared" si="165"/>
        <v>53.93612999999999</v>
      </c>
    </row>
    <row r="1091" spans="1:25" ht="36" hidden="1" outlineLevel="1">
      <c r="A1091" s="6" t="s">
        <v>435</v>
      </c>
      <c r="B1091" s="7">
        <f>B1040+B1045+B1047+B1049+B1062+B1064+B1066+B1068+B1070+B1075+B1077+B1086+B1088+B1090</f>
        <v>608</v>
      </c>
      <c r="C1091" s="10">
        <f>C1040+C1045+C1047+C1049+C1062+C1064+C1066+C1068+C1070+C1075+C1077+C1086+C1088+C1090</f>
        <v>2041.1711666666663</v>
      </c>
      <c r="D1091" s="7">
        <f>D1040+D1045+D1047+D1049+D1062+D1064+D1066+D1068+D1070+D1075+D1077+D1086+D1088+D1090</f>
        <v>608</v>
      </c>
      <c r="E1091" s="10">
        <f>E1040+E1045+E1047+E1049+E1062+E1064+E1066+E1068+E1070+E1075+E1077+E1086+E1088+E1090</f>
        <v>2041.1711666666663</v>
      </c>
      <c r="F1091" s="7" t="s">
        <v>433</v>
      </c>
      <c r="G1091" s="7">
        <f>G1040+G1045+G1047+G1049+G1062+G1064+G1066+G1068+G1070+G1075+G1077+G1086+G1088+G1090</f>
        <v>0</v>
      </c>
      <c r="H1091" s="7">
        <f>H1040+H1045+H1047+H1049+H1062+H1064+H1066+H1068+H1070+H1075+H1077+H1086+H1088+H1090</f>
        <v>0</v>
      </c>
      <c r="I1091" s="7" t="s">
        <v>441</v>
      </c>
      <c r="J1091" s="7">
        <f>J1040+J1045+J1047+J1049+J1062+J1064+J1066+J1068+J1070+J1075+J1077+J1086+J1088+J1090</f>
        <v>0</v>
      </c>
      <c r="K1091" s="7">
        <f>K1040+K1045+K1047+K1049+K1062+K1064+K1066+K1068+K1070+K1075+K1077+K1086+K1088+K1090</f>
        <v>0</v>
      </c>
      <c r="L1091" s="7" t="s">
        <v>441</v>
      </c>
      <c r="M1091" s="7">
        <f aca="true" t="shared" si="168" ref="M1091:X1091">M1040+M1045+M1047+M1049+M1062+M1064+M1066+M1068+M1070+M1075+M1077+M1086+M1088+M1090</f>
        <v>200</v>
      </c>
      <c r="N1091" s="7">
        <f t="shared" si="168"/>
        <v>16143</v>
      </c>
      <c r="O1091" s="10">
        <f t="shared" si="168"/>
        <v>2218.6643115942024</v>
      </c>
      <c r="P1091" s="7">
        <f t="shared" si="168"/>
        <v>4</v>
      </c>
      <c r="Q1091" s="7">
        <f t="shared" si="168"/>
        <v>670</v>
      </c>
      <c r="R1091" s="10">
        <f t="shared" si="168"/>
        <v>2967.8628763333336</v>
      </c>
      <c r="S1091" s="10">
        <f t="shared" si="168"/>
        <v>1187.1451505333334</v>
      </c>
      <c r="T1091" s="10">
        <f t="shared" si="168"/>
        <v>593.5725752666667</v>
      </c>
      <c r="U1091" s="10">
        <f t="shared" si="168"/>
        <v>593.5725752666667</v>
      </c>
      <c r="V1091" s="10">
        <f t="shared" si="168"/>
        <v>593.5725752666667</v>
      </c>
      <c r="W1091" s="10">
        <f t="shared" si="168"/>
        <v>0</v>
      </c>
      <c r="X1091" s="10">
        <f t="shared" si="168"/>
        <v>0</v>
      </c>
      <c r="Y1091" s="4">
        <f t="shared" si="165"/>
        <v>1187.1451505333334</v>
      </c>
    </row>
    <row r="1092" spans="1:25" ht="12.75" customHeight="1" outlineLevel="2">
      <c r="A1092" s="170">
        <v>1</v>
      </c>
      <c r="B1092" s="162" t="s">
        <v>291</v>
      </c>
      <c r="C1092" s="162"/>
      <c r="D1092" s="162"/>
      <c r="E1092" s="162"/>
      <c r="F1092" s="162"/>
      <c r="G1092" s="162"/>
      <c r="H1092" s="162"/>
      <c r="I1092" s="162"/>
      <c r="J1092" s="162"/>
      <c r="K1092" s="162"/>
      <c r="L1092" s="162"/>
      <c r="M1092" s="162"/>
      <c r="N1092" s="162"/>
      <c r="O1092" s="162"/>
      <c r="P1092" s="162"/>
      <c r="Q1092" s="162"/>
      <c r="R1092" s="162"/>
      <c r="S1092" s="162"/>
      <c r="T1092" s="162"/>
      <c r="U1092" s="162"/>
      <c r="V1092" s="162"/>
      <c r="W1092" s="162"/>
      <c r="X1092" s="162"/>
      <c r="Y1092" s="4">
        <f t="shared" si="165"/>
        <v>0</v>
      </c>
    </row>
    <row r="1093" spans="1:25" ht="18" outlineLevel="2">
      <c r="A1093" s="170"/>
      <c r="B1093" s="5">
        <f>D1093+G1093+J1093</f>
        <v>19</v>
      </c>
      <c r="C1093" s="8">
        <f>E1093+H1093+K1093</f>
        <v>72.67499999999998</v>
      </c>
      <c r="D1093" s="5">
        <v>19</v>
      </c>
      <c r="E1093" s="8">
        <f>D1093*FORECAST(D1093,AA$10:AA$11,Z$10:Z$11)</f>
        <v>72.67499999999998</v>
      </c>
      <c r="F1093" s="5" t="s">
        <v>433</v>
      </c>
      <c r="G1093" s="5"/>
      <c r="H1093" s="5"/>
      <c r="I1093" s="5"/>
      <c r="J1093" s="5"/>
      <c r="K1093" s="5"/>
      <c r="L1093" s="5"/>
      <c r="M1093" s="5"/>
      <c r="N1093" s="5">
        <v>420</v>
      </c>
      <c r="O1093" s="8">
        <f>C1093/0.92</f>
        <v>78.99456521739128</v>
      </c>
      <c r="P1093" s="5"/>
      <c r="Q1093" s="5"/>
      <c r="R1093" s="8">
        <f>1.454*C1093</f>
        <v>105.66944999999997</v>
      </c>
      <c r="S1093" s="9">
        <f>E1093*1.454*0.4</f>
        <v>42.26777999999999</v>
      </c>
      <c r="T1093" s="9">
        <f>E1093*1.454*0.2</f>
        <v>21.133889999999994</v>
      </c>
      <c r="U1093" s="9">
        <f>E1093*1.454*0.2</f>
        <v>21.133889999999994</v>
      </c>
      <c r="V1093" s="9">
        <f>E1093*1.454*0.2</f>
        <v>21.133889999999994</v>
      </c>
      <c r="W1093" s="9">
        <f>H1093*1.454</f>
        <v>0</v>
      </c>
      <c r="X1093" s="9">
        <f>K1093*1.454</f>
        <v>0</v>
      </c>
      <c r="Y1093" s="4">
        <f t="shared" si="165"/>
        <v>42.26777999999999</v>
      </c>
    </row>
    <row r="1094" spans="1:25" ht="12.75" customHeight="1" outlineLevel="2">
      <c r="A1094" s="170">
        <v>2</v>
      </c>
      <c r="B1094" s="162" t="s">
        <v>292</v>
      </c>
      <c r="C1094" s="162"/>
      <c r="D1094" s="162"/>
      <c r="E1094" s="162"/>
      <c r="F1094" s="162"/>
      <c r="G1094" s="162"/>
      <c r="H1094" s="162"/>
      <c r="I1094" s="162"/>
      <c r="J1094" s="162"/>
      <c r="K1094" s="162"/>
      <c r="L1094" s="162"/>
      <c r="M1094" s="162"/>
      <c r="N1094" s="162"/>
      <c r="O1094" s="162"/>
      <c r="P1094" s="162"/>
      <c r="Q1094" s="162"/>
      <c r="R1094" s="162"/>
      <c r="S1094" s="162"/>
      <c r="T1094" s="162"/>
      <c r="U1094" s="162"/>
      <c r="V1094" s="162"/>
      <c r="W1094" s="162"/>
      <c r="X1094" s="162"/>
      <c r="Y1094" s="4">
        <f t="shared" si="165"/>
        <v>0</v>
      </c>
    </row>
    <row r="1095" spans="1:25" ht="18" outlineLevel="2">
      <c r="A1095" s="170"/>
      <c r="B1095" s="5">
        <f>D1095+G1095+J1095</f>
        <v>14</v>
      </c>
      <c r="C1095" s="8">
        <f>E1095+H1095+K1095</f>
        <v>63.65333333333335</v>
      </c>
      <c r="D1095" s="5">
        <v>14</v>
      </c>
      <c r="E1095" s="8">
        <f>D1095*FORECAST(D1095,AA$8:AA$9,Z$8:Z$9)</f>
        <v>63.65333333333335</v>
      </c>
      <c r="F1095" s="5" t="s">
        <v>433</v>
      </c>
      <c r="G1095" s="5"/>
      <c r="H1095" s="5"/>
      <c r="I1095" s="5"/>
      <c r="J1095" s="5"/>
      <c r="K1095" s="5"/>
      <c r="L1095" s="5"/>
      <c r="M1095" s="5"/>
      <c r="N1095" s="5">
        <v>580</v>
      </c>
      <c r="O1095" s="8">
        <f>C1095/0.92</f>
        <v>69.18840579710147</v>
      </c>
      <c r="P1095" s="5"/>
      <c r="Q1095" s="5"/>
      <c r="R1095" s="8">
        <f>1.454*C1095</f>
        <v>92.5519466666667</v>
      </c>
      <c r="S1095" s="9">
        <f>E1095*1.454*0.4</f>
        <v>37.02077866666668</v>
      </c>
      <c r="T1095" s="9">
        <f>E1095*1.454*0.2</f>
        <v>18.51038933333334</v>
      </c>
      <c r="U1095" s="9">
        <f>E1095*1.454*0.2</f>
        <v>18.51038933333334</v>
      </c>
      <c r="V1095" s="9">
        <f>E1095*1.454*0.2</f>
        <v>18.51038933333334</v>
      </c>
      <c r="W1095" s="9">
        <f>H1095*1.454</f>
        <v>0</v>
      </c>
      <c r="X1095" s="9">
        <f>K1095*1.454</f>
        <v>0</v>
      </c>
      <c r="Y1095" s="4">
        <f t="shared" si="165"/>
        <v>37.02077866666668</v>
      </c>
    </row>
    <row r="1096" spans="1:25" ht="12.75" customHeight="1" outlineLevel="2">
      <c r="A1096" s="170">
        <v>3</v>
      </c>
      <c r="B1096" s="162" t="s">
        <v>293</v>
      </c>
      <c r="C1096" s="162"/>
      <c r="D1096" s="162"/>
      <c r="E1096" s="162"/>
      <c r="F1096" s="162"/>
      <c r="G1096" s="162"/>
      <c r="H1096" s="162"/>
      <c r="I1096" s="162"/>
      <c r="J1096" s="162"/>
      <c r="K1096" s="162"/>
      <c r="L1096" s="162"/>
      <c r="M1096" s="162"/>
      <c r="N1096" s="162"/>
      <c r="O1096" s="162"/>
      <c r="P1096" s="162"/>
      <c r="Q1096" s="162"/>
      <c r="R1096" s="162"/>
      <c r="S1096" s="162"/>
      <c r="T1096" s="162"/>
      <c r="U1096" s="162"/>
      <c r="V1096" s="162"/>
      <c r="W1096" s="162"/>
      <c r="X1096" s="162"/>
      <c r="Y1096" s="4">
        <f t="shared" si="165"/>
        <v>0</v>
      </c>
    </row>
    <row r="1097" spans="1:25" ht="18" outlineLevel="2">
      <c r="A1097" s="170"/>
      <c r="B1097" s="5">
        <f>D1097+G1097+J1097</f>
        <v>35</v>
      </c>
      <c r="C1097" s="8">
        <f>E1097+H1097+K1097</f>
        <v>100.646875</v>
      </c>
      <c r="D1097" s="5">
        <v>35</v>
      </c>
      <c r="E1097" s="8">
        <f>D1097*FORECAST(D1097,AA$11:AA$12,Z$11:Z$12)</f>
        <v>100.646875</v>
      </c>
      <c r="F1097" s="5" t="s">
        <v>433</v>
      </c>
      <c r="G1097" s="5"/>
      <c r="H1097" s="5"/>
      <c r="I1097" s="5"/>
      <c r="J1097" s="5"/>
      <c r="K1097" s="5"/>
      <c r="L1097" s="5"/>
      <c r="M1097" s="5">
        <v>400</v>
      </c>
      <c r="N1097" s="5">
        <v>500</v>
      </c>
      <c r="O1097" s="8">
        <f>C1097/0.92</f>
        <v>109.39877717391303</v>
      </c>
      <c r="P1097" s="5">
        <v>1</v>
      </c>
      <c r="Q1097" s="5">
        <v>400</v>
      </c>
      <c r="R1097" s="8">
        <f>1.454*C1097</f>
        <v>146.34055625</v>
      </c>
      <c r="S1097" s="9">
        <f>E1097*1.454*0.4</f>
        <v>58.5362225</v>
      </c>
      <c r="T1097" s="9">
        <f>E1097*1.454*0.2</f>
        <v>29.26811125</v>
      </c>
      <c r="U1097" s="9">
        <f>E1097*1.454*0.2</f>
        <v>29.26811125</v>
      </c>
      <c r="V1097" s="9">
        <f>E1097*1.454*0.2</f>
        <v>29.26811125</v>
      </c>
      <c r="W1097" s="9">
        <f>H1097*1.454</f>
        <v>0</v>
      </c>
      <c r="X1097" s="9">
        <f>K1097*1.454</f>
        <v>0</v>
      </c>
      <c r="Y1097" s="4">
        <f t="shared" si="165"/>
        <v>58.5362225</v>
      </c>
    </row>
    <row r="1098" spans="1:25" ht="12.75" customHeight="1" outlineLevel="2">
      <c r="A1098" s="170">
        <v>4</v>
      </c>
      <c r="B1098" s="162" t="s">
        <v>294</v>
      </c>
      <c r="C1098" s="162"/>
      <c r="D1098" s="162"/>
      <c r="E1098" s="162"/>
      <c r="F1098" s="162"/>
      <c r="G1098" s="162"/>
      <c r="H1098" s="162"/>
      <c r="I1098" s="162"/>
      <c r="J1098" s="162"/>
      <c r="K1098" s="162"/>
      <c r="L1098" s="162"/>
      <c r="M1098" s="162"/>
      <c r="N1098" s="162"/>
      <c r="O1098" s="162"/>
      <c r="P1098" s="162"/>
      <c r="Q1098" s="162"/>
      <c r="R1098" s="162"/>
      <c r="S1098" s="162"/>
      <c r="T1098" s="162"/>
      <c r="U1098" s="162"/>
      <c r="V1098" s="162"/>
      <c r="W1098" s="162"/>
      <c r="X1098" s="162"/>
      <c r="Y1098" s="4">
        <f t="shared" si="165"/>
        <v>0</v>
      </c>
    </row>
    <row r="1099" spans="1:25" ht="18" outlineLevel="2">
      <c r="A1099" s="170"/>
      <c r="B1099" s="5">
        <f>D1099+G1099+J1099</f>
        <v>35</v>
      </c>
      <c r="C1099" s="8">
        <f>E1099+H1099+K1099</f>
        <v>100.646875</v>
      </c>
      <c r="D1099" s="5">
        <f>35</f>
        <v>35</v>
      </c>
      <c r="E1099" s="8">
        <f>D1099*FORECAST(D1099,AA$11:AA$12,Z$11:Z$12)</f>
        <v>100.646875</v>
      </c>
      <c r="F1099" s="5" t="s">
        <v>433</v>
      </c>
      <c r="G1099" s="5"/>
      <c r="H1099" s="5"/>
      <c r="I1099" s="5"/>
      <c r="J1099" s="5"/>
      <c r="K1099" s="5"/>
      <c r="L1099" s="5"/>
      <c r="M1099" s="5"/>
      <c r="N1099" s="5">
        <v>730</v>
      </c>
      <c r="O1099" s="8">
        <f>C1099/0.92</f>
        <v>109.39877717391303</v>
      </c>
      <c r="P1099" s="5"/>
      <c r="Q1099" s="5"/>
      <c r="R1099" s="8">
        <f>1.454*C1099</f>
        <v>146.34055625</v>
      </c>
      <c r="S1099" s="9">
        <f>E1099*1.454*0.4</f>
        <v>58.5362225</v>
      </c>
      <c r="T1099" s="9">
        <f>E1099*1.454*0.2</f>
        <v>29.26811125</v>
      </c>
      <c r="U1099" s="9">
        <f>E1099*1.454*0.2</f>
        <v>29.26811125</v>
      </c>
      <c r="V1099" s="9">
        <f>E1099*1.454*0.2</f>
        <v>29.26811125</v>
      </c>
      <c r="W1099" s="9">
        <f>H1099*1.454</f>
        <v>0</v>
      </c>
      <c r="X1099" s="9">
        <f>K1099*1.454</f>
        <v>0</v>
      </c>
      <c r="Y1099" s="4">
        <f t="shared" si="165"/>
        <v>58.5362225</v>
      </c>
    </row>
    <row r="1100" spans="1:25" ht="36" outlineLevel="2">
      <c r="A1100" s="6" t="s">
        <v>431</v>
      </c>
      <c r="B1100" s="5">
        <f>B1093+B1095+B1097+B1099</f>
        <v>103</v>
      </c>
      <c r="C1100" s="10">
        <f>C1093+C1095+C1097+C1099</f>
        <v>337.6220833333333</v>
      </c>
      <c r="D1100" s="7">
        <f>D1093+D1095+D1097+D1099</f>
        <v>103</v>
      </c>
      <c r="E1100" s="10">
        <f>E1093+E1095+E1097+E1099</f>
        <v>337.6220833333333</v>
      </c>
      <c r="F1100" s="7" t="s">
        <v>433</v>
      </c>
      <c r="G1100" s="7">
        <f>G1093+G1095+G1097+G1099</f>
        <v>0</v>
      </c>
      <c r="H1100" s="7">
        <f>H1093+H1095+H1097+H1099</f>
        <v>0</v>
      </c>
      <c r="I1100" s="7" t="s">
        <v>441</v>
      </c>
      <c r="J1100" s="7">
        <f>J1093+J1095+J1097+J1099</f>
        <v>0</v>
      </c>
      <c r="K1100" s="7">
        <f>K1093+K1095+K1097+K1099</f>
        <v>0</v>
      </c>
      <c r="L1100" s="7" t="s">
        <v>441</v>
      </c>
      <c r="M1100" s="7">
        <f aca="true" t="shared" si="169" ref="M1100:X1100">M1093+M1095+M1097+M1099</f>
        <v>400</v>
      </c>
      <c r="N1100" s="7">
        <f t="shared" si="169"/>
        <v>2230</v>
      </c>
      <c r="O1100" s="7">
        <f t="shared" si="169"/>
        <v>366.98052536231876</v>
      </c>
      <c r="P1100" s="7">
        <f t="shared" si="169"/>
        <v>1</v>
      </c>
      <c r="Q1100" s="7">
        <f t="shared" si="169"/>
        <v>400</v>
      </c>
      <c r="R1100" s="10">
        <f t="shared" si="169"/>
        <v>490.9025091666666</v>
      </c>
      <c r="S1100" s="10">
        <f t="shared" si="169"/>
        <v>196.36100366666668</v>
      </c>
      <c r="T1100" s="10">
        <f t="shared" si="169"/>
        <v>98.18050183333334</v>
      </c>
      <c r="U1100" s="10">
        <f t="shared" si="169"/>
        <v>98.18050183333334</v>
      </c>
      <c r="V1100" s="10">
        <f t="shared" si="169"/>
        <v>98.18050183333334</v>
      </c>
      <c r="W1100" s="10">
        <f t="shared" si="169"/>
        <v>0</v>
      </c>
      <c r="X1100" s="10">
        <f t="shared" si="169"/>
        <v>0</v>
      </c>
      <c r="Y1100" s="4">
        <f t="shared" si="165"/>
        <v>196.36100366666668</v>
      </c>
    </row>
    <row r="1101" spans="1:25" ht="12.75" customHeight="1" outlineLevel="2">
      <c r="A1101" s="170">
        <v>1</v>
      </c>
      <c r="B1101" s="162" t="s">
        <v>85</v>
      </c>
      <c r="C1101" s="162"/>
      <c r="D1101" s="162"/>
      <c r="E1101" s="162"/>
      <c r="F1101" s="162"/>
      <c r="G1101" s="162"/>
      <c r="H1101" s="162"/>
      <c r="I1101" s="162"/>
      <c r="J1101" s="162"/>
      <c r="K1101" s="162"/>
      <c r="L1101" s="162"/>
      <c r="M1101" s="162"/>
      <c r="N1101" s="162"/>
      <c r="O1101" s="162"/>
      <c r="P1101" s="162"/>
      <c r="Q1101" s="162"/>
      <c r="R1101" s="162"/>
      <c r="S1101" s="162"/>
      <c r="T1101" s="162"/>
      <c r="U1101" s="162"/>
      <c r="V1101" s="162"/>
      <c r="W1101" s="162"/>
      <c r="X1101" s="162"/>
      <c r="Y1101" s="4">
        <f t="shared" si="165"/>
        <v>0</v>
      </c>
    </row>
    <row r="1102" spans="1:25" ht="18" outlineLevel="2">
      <c r="A1102" s="170"/>
      <c r="B1102" s="5">
        <f>D1102+G1102+J1102</f>
        <v>20</v>
      </c>
      <c r="C1102" s="5">
        <f>E1102+H1102+K1102</f>
        <v>74.6</v>
      </c>
      <c r="D1102" s="5">
        <v>20</v>
      </c>
      <c r="E1102" s="8">
        <f>D1102*FORECAST(D1102,AA$10:AA$11,Z$10:Z$11)</f>
        <v>74.6</v>
      </c>
      <c r="F1102" s="5" t="s">
        <v>433</v>
      </c>
      <c r="G1102" s="5"/>
      <c r="H1102" s="5"/>
      <c r="I1102" s="5"/>
      <c r="J1102" s="5"/>
      <c r="K1102" s="5"/>
      <c r="L1102" s="5"/>
      <c r="M1102" s="5"/>
      <c r="N1102" s="5">
        <v>400</v>
      </c>
      <c r="O1102" s="8">
        <f>C1102/0.92</f>
        <v>81.08695652173913</v>
      </c>
      <c r="P1102" s="5"/>
      <c r="Q1102" s="5"/>
      <c r="R1102" s="8">
        <f>1.454*C1102</f>
        <v>108.46839999999999</v>
      </c>
      <c r="S1102" s="9">
        <f>E1102*1.454*0.4</f>
        <v>43.38736</v>
      </c>
      <c r="T1102" s="9">
        <f>E1102*1.454*0.2</f>
        <v>21.69368</v>
      </c>
      <c r="U1102" s="9">
        <f>E1102*1.454*0.2</f>
        <v>21.69368</v>
      </c>
      <c r="V1102" s="9">
        <f>E1102*1.454*0.2</f>
        <v>21.69368</v>
      </c>
      <c r="W1102" s="9">
        <f>H1102*1.454</f>
        <v>0</v>
      </c>
      <c r="X1102" s="9">
        <f>K1102*1.454</f>
        <v>0</v>
      </c>
      <c r="Y1102" s="4">
        <f t="shared" si="165"/>
        <v>43.38736</v>
      </c>
    </row>
    <row r="1103" spans="1:25" ht="12.75" customHeight="1" outlineLevel="2">
      <c r="A1103" s="170">
        <v>1</v>
      </c>
      <c r="B1103" s="162" t="s">
        <v>98</v>
      </c>
      <c r="C1103" s="162"/>
      <c r="D1103" s="162"/>
      <c r="E1103" s="162"/>
      <c r="F1103" s="162"/>
      <c r="G1103" s="162"/>
      <c r="H1103" s="162"/>
      <c r="I1103" s="162"/>
      <c r="J1103" s="162"/>
      <c r="K1103" s="162"/>
      <c r="L1103" s="162"/>
      <c r="M1103" s="162"/>
      <c r="N1103" s="162"/>
      <c r="O1103" s="162"/>
      <c r="P1103" s="162"/>
      <c r="Q1103" s="162"/>
      <c r="R1103" s="162"/>
      <c r="S1103" s="162"/>
      <c r="T1103" s="162"/>
      <c r="U1103" s="162"/>
      <c r="V1103" s="162"/>
      <c r="W1103" s="162"/>
      <c r="X1103" s="162"/>
      <c r="Y1103" s="4">
        <f t="shared" si="165"/>
        <v>0</v>
      </c>
    </row>
    <row r="1104" spans="1:25" ht="18" outlineLevel="2">
      <c r="A1104" s="170"/>
      <c r="B1104" s="5">
        <f>D1104+G1104+J1104</f>
        <v>160</v>
      </c>
      <c r="C1104" s="5">
        <f>E1104+H1104+K1104</f>
        <v>326.4</v>
      </c>
      <c r="D1104" s="5">
        <v>160</v>
      </c>
      <c r="E1104" s="8">
        <f>D1104*FORECAST(D1104,AA$14:AA$15,Z$14:Z$15)</f>
        <v>326.4</v>
      </c>
      <c r="F1104" s="5" t="s">
        <v>433</v>
      </c>
      <c r="G1104" s="5"/>
      <c r="H1104" s="5"/>
      <c r="I1104" s="5"/>
      <c r="J1104" s="5"/>
      <c r="K1104" s="5"/>
      <c r="L1104" s="5"/>
      <c r="M1104" s="5">
        <v>100</v>
      </c>
      <c r="N1104" s="5">
        <v>5000</v>
      </c>
      <c r="O1104" s="8">
        <f>C1104/0.92</f>
        <v>354.78260869565213</v>
      </c>
      <c r="P1104" s="5">
        <v>1</v>
      </c>
      <c r="Q1104" s="5">
        <v>400</v>
      </c>
      <c r="R1104" s="8">
        <f>1.454*C1104</f>
        <v>474.58559999999994</v>
      </c>
      <c r="S1104" s="9">
        <f>E1104*1.454*0.4</f>
        <v>189.83424</v>
      </c>
      <c r="T1104" s="9">
        <f>E1104*1.454*0.2</f>
        <v>94.91712</v>
      </c>
      <c r="U1104" s="9">
        <f>E1104*1.454*0.2</f>
        <v>94.91712</v>
      </c>
      <c r="V1104" s="9">
        <f>E1104*1.454*0.2</f>
        <v>94.91712</v>
      </c>
      <c r="W1104" s="9">
        <f>H1104*1.454</f>
        <v>0</v>
      </c>
      <c r="X1104" s="9">
        <f>K1104*1.454</f>
        <v>0</v>
      </c>
      <c r="Y1104" s="4">
        <f t="shared" si="165"/>
        <v>189.83424</v>
      </c>
    </row>
    <row r="1105" spans="1:25" ht="12.75" customHeight="1" outlineLevel="2">
      <c r="A1105" s="170">
        <v>1</v>
      </c>
      <c r="B1105" s="162" t="s">
        <v>295</v>
      </c>
      <c r="C1105" s="162"/>
      <c r="D1105" s="162"/>
      <c r="E1105" s="162"/>
      <c r="F1105" s="162"/>
      <c r="G1105" s="162"/>
      <c r="H1105" s="162"/>
      <c r="I1105" s="162"/>
      <c r="J1105" s="162"/>
      <c r="K1105" s="162"/>
      <c r="L1105" s="162"/>
      <c r="M1105" s="162"/>
      <c r="N1105" s="162"/>
      <c r="O1105" s="162"/>
      <c r="P1105" s="162"/>
      <c r="Q1105" s="162"/>
      <c r="R1105" s="162"/>
      <c r="S1105" s="162"/>
      <c r="T1105" s="162"/>
      <c r="U1105" s="162"/>
      <c r="V1105" s="162"/>
      <c r="W1105" s="162"/>
      <c r="X1105" s="162"/>
      <c r="Y1105" s="4">
        <f t="shared" si="165"/>
        <v>0</v>
      </c>
    </row>
    <row r="1106" spans="1:25" ht="18" outlineLevel="2">
      <c r="A1106" s="170"/>
      <c r="B1106" s="5">
        <f>D1106+G1106+J1106</f>
        <v>45</v>
      </c>
      <c r="C1106" s="8">
        <f>E1106+H1106+K1106</f>
        <v>116.55</v>
      </c>
      <c r="D1106" s="5">
        <v>45</v>
      </c>
      <c r="E1106" s="8">
        <f>D1106*FORECAST(D1106,AA$12:AA$13,Z$12:Z$13)</f>
        <v>116.55</v>
      </c>
      <c r="F1106" s="5" t="s">
        <v>433</v>
      </c>
      <c r="G1106" s="5"/>
      <c r="H1106" s="5"/>
      <c r="I1106" s="5"/>
      <c r="J1106" s="5"/>
      <c r="K1106" s="5"/>
      <c r="L1106" s="5"/>
      <c r="M1106" s="5">
        <v>500</v>
      </c>
      <c r="N1106" s="5">
        <v>800</v>
      </c>
      <c r="O1106" s="8">
        <f>C1106/0.92</f>
        <v>126.68478260869564</v>
      </c>
      <c r="P1106" s="5">
        <v>1</v>
      </c>
      <c r="Q1106" s="5">
        <v>160</v>
      </c>
      <c r="R1106" s="8">
        <f>1.454*C1106</f>
        <v>169.4637</v>
      </c>
      <c r="S1106" s="9">
        <f>E1106*1.454*0.4</f>
        <v>67.78547999999999</v>
      </c>
      <c r="T1106" s="9">
        <f>E1106*1.454*0.2</f>
        <v>33.892739999999996</v>
      </c>
      <c r="U1106" s="9">
        <f>E1106*1.454*0.2</f>
        <v>33.892739999999996</v>
      </c>
      <c r="V1106" s="9">
        <f>E1106*1.454*0.2</f>
        <v>33.892739999999996</v>
      </c>
      <c r="W1106" s="9">
        <f>H1106*1.454</f>
        <v>0</v>
      </c>
      <c r="X1106" s="9">
        <f>K1106*1.454</f>
        <v>0</v>
      </c>
      <c r="Y1106" s="4">
        <f t="shared" si="165"/>
        <v>67.78547999999999</v>
      </c>
    </row>
    <row r="1107" spans="1:25" ht="12.75" customHeight="1" outlineLevel="2">
      <c r="A1107" s="170">
        <v>1</v>
      </c>
      <c r="B1107" s="162" t="s">
        <v>296</v>
      </c>
      <c r="C1107" s="162"/>
      <c r="D1107" s="162"/>
      <c r="E1107" s="162"/>
      <c r="F1107" s="162"/>
      <c r="G1107" s="162"/>
      <c r="H1107" s="162"/>
      <c r="I1107" s="162"/>
      <c r="J1107" s="162"/>
      <c r="K1107" s="162"/>
      <c r="L1107" s="162"/>
      <c r="M1107" s="162"/>
      <c r="N1107" s="162"/>
      <c r="O1107" s="162"/>
      <c r="P1107" s="162"/>
      <c r="Q1107" s="162"/>
      <c r="R1107" s="162"/>
      <c r="S1107" s="162"/>
      <c r="T1107" s="162"/>
      <c r="U1107" s="162"/>
      <c r="V1107" s="162"/>
      <c r="W1107" s="162"/>
      <c r="X1107" s="162"/>
      <c r="Y1107" s="4">
        <f t="shared" si="165"/>
        <v>0</v>
      </c>
    </row>
    <row r="1108" spans="1:25" ht="18" outlineLevel="2">
      <c r="A1108" s="170"/>
      <c r="B1108" s="5">
        <f>D1108+G1108+J1108</f>
        <v>46</v>
      </c>
      <c r="C1108" s="8">
        <f>E1108+H1108+K1108</f>
        <v>118.49600000000001</v>
      </c>
      <c r="D1108" s="5">
        <v>46</v>
      </c>
      <c r="E1108" s="8">
        <f>D1108*FORECAST(D1108,AA$12:AA$13,Z$12:Z$13)</f>
        <v>118.49600000000001</v>
      </c>
      <c r="F1108" s="5" t="s">
        <v>433</v>
      </c>
      <c r="G1108" s="5"/>
      <c r="H1108" s="5"/>
      <c r="I1108" s="5"/>
      <c r="J1108" s="5"/>
      <c r="K1108" s="5"/>
      <c r="L1108" s="5"/>
      <c r="M1108" s="5"/>
      <c r="N1108" s="5">
        <v>800</v>
      </c>
      <c r="O1108" s="8">
        <f>C1108/0.92</f>
        <v>128.8</v>
      </c>
      <c r="P1108" s="5"/>
      <c r="Q1108" s="5"/>
      <c r="R1108" s="8">
        <f>1.454*C1108</f>
        <v>172.293184</v>
      </c>
      <c r="S1108" s="9">
        <f>E1108*1.454*0.4</f>
        <v>68.9172736</v>
      </c>
      <c r="T1108" s="9">
        <f>E1108*1.454*0.2</f>
        <v>34.4586368</v>
      </c>
      <c r="U1108" s="9">
        <f>E1108*1.454*0.2</f>
        <v>34.4586368</v>
      </c>
      <c r="V1108" s="9">
        <f>E1108*1.454*0.2</f>
        <v>34.4586368</v>
      </c>
      <c r="W1108" s="9">
        <f>H1108*1.454</f>
        <v>0</v>
      </c>
      <c r="X1108" s="9">
        <f>K1108*1.454</f>
        <v>0</v>
      </c>
      <c r="Y1108" s="4">
        <f t="shared" si="165"/>
        <v>68.9172736</v>
      </c>
    </row>
    <row r="1109" spans="1:25" ht="12.75" customHeight="1" outlineLevel="2">
      <c r="A1109" s="170">
        <v>1</v>
      </c>
      <c r="B1109" s="162" t="s">
        <v>297</v>
      </c>
      <c r="C1109" s="162"/>
      <c r="D1109" s="162"/>
      <c r="E1109" s="162"/>
      <c r="F1109" s="162"/>
      <c r="G1109" s="162"/>
      <c r="H1109" s="162"/>
      <c r="I1109" s="162"/>
      <c r="J1109" s="162"/>
      <c r="K1109" s="162"/>
      <c r="L1109" s="162"/>
      <c r="M1109" s="162"/>
      <c r="N1109" s="162"/>
      <c r="O1109" s="162"/>
      <c r="P1109" s="162"/>
      <c r="Q1109" s="162"/>
      <c r="R1109" s="162"/>
      <c r="S1109" s="162"/>
      <c r="T1109" s="162"/>
      <c r="U1109" s="162"/>
      <c r="V1109" s="162"/>
      <c r="W1109" s="162"/>
      <c r="X1109" s="162"/>
      <c r="Y1109" s="4">
        <f t="shared" si="165"/>
        <v>0</v>
      </c>
    </row>
    <row r="1110" spans="1:25" ht="18" outlineLevel="2">
      <c r="A1110" s="170"/>
      <c r="B1110" s="5">
        <f>D1110+G1110+J1110</f>
        <v>112</v>
      </c>
      <c r="C1110" s="5">
        <f>E1110+H1110+K1110</f>
        <v>250.4</v>
      </c>
      <c r="D1110" s="5">
        <v>110</v>
      </c>
      <c r="E1110" s="8">
        <f>D1110*FORECAST(D1110,AA$14:AA$15,Z$14:Z$15)</f>
        <v>235.4</v>
      </c>
      <c r="F1110" s="5" t="s">
        <v>433</v>
      </c>
      <c r="G1110" s="5"/>
      <c r="H1110" s="5"/>
      <c r="I1110" s="5"/>
      <c r="J1110" s="5">
        <v>2</v>
      </c>
      <c r="K1110" s="5">
        <v>15</v>
      </c>
      <c r="L1110" s="5" t="s">
        <v>433</v>
      </c>
      <c r="M1110" s="5">
        <v>200</v>
      </c>
      <c r="N1110" s="5">
        <v>1900</v>
      </c>
      <c r="O1110" s="8">
        <f>C1110/0.92</f>
        <v>272.17391304347825</v>
      </c>
      <c r="P1110" s="5">
        <v>2</v>
      </c>
      <c r="Q1110" s="5">
        <v>250</v>
      </c>
      <c r="R1110" s="8">
        <f>1.454*C1110</f>
        <v>364.0816</v>
      </c>
      <c r="S1110" s="9">
        <f>E1110*1.454*0.4</f>
        <v>136.90864</v>
      </c>
      <c r="T1110" s="9">
        <f>E1110*1.454*0.2</f>
        <v>68.45432</v>
      </c>
      <c r="U1110" s="9">
        <f>E1110*1.454*0.2</f>
        <v>68.45432</v>
      </c>
      <c r="V1110" s="9">
        <f>E1110*1.454*0.2</f>
        <v>68.45432</v>
      </c>
      <c r="W1110" s="9">
        <f>H1110*1.454</f>
        <v>0</v>
      </c>
      <c r="X1110" s="9">
        <f>K1110*1.454</f>
        <v>21.81</v>
      </c>
      <c r="Y1110" s="4">
        <f t="shared" si="165"/>
        <v>136.90864</v>
      </c>
    </row>
    <row r="1111" spans="1:25" ht="36" hidden="1" outlineLevel="1">
      <c r="A1111" s="6" t="s">
        <v>436</v>
      </c>
      <c r="B1111" s="7">
        <f>B1100+B1102+B1104+B1106+B1108+B1110</f>
        <v>486</v>
      </c>
      <c r="C1111" s="10">
        <f>C1100+C1102+C1104+C1106+C1108+C1110</f>
        <v>1224.0680833333333</v>
      </c>
      <c r="D1111" s="7">
        <f>D1100+D1102+D1104+D1106+D1108+D1110</f>
        <v>484</v>
      </c>
      <c r="E1111" s="10">
        <f>E1100+E1102+E1104+E1106+E1108+E1110</f>
        <v>1209.0680833333333</v>
      </c>
      <c r="F1111" s="7" t="s">
        <v>433</v>
      </c>
      <c r="G1111" s="7">
        <f>G1100+G1102+G1104+G1106+G1108+G1110</f>
        <v>0</v>
      </c>
      <c r="H1111" s="7">
        <f>H1100+H1102+H1104+H1106+H1108+H1110</f>
        <v>0</v>
      </c>
      <c r="I1111" s="7" t="s">
        <v>441</v>
      </c>
      <c r="J1111" s="7">
        <f>J1100+J1102+J1104+J1106+J1108+J1110</f>
        <v>2</v>
      </c>
      <c r="K1111" s="7">
        <f>K1100+K1102+K1104+K1106+K1108+K1110</f>
        <v>15</v>
      </c>
      <c r="L1111" s="7" t="s">
        <v>433</v>
      </c>
      <c r="M1111" s="7">
        <f aca="true" t="shared" si="170" ref="M1111:X1111">M1100+M1102+M1104+M1106+M1108+M1110</f>
        <v>1200</v>
      </c>
      <c r="N1111" s="7">
        <f t="shared" si="170"/>
        <v>11130</v>
      </c>
      <c r="O1111" s="10">
        <f t="shared" si="170"/>
        <v>1330.508786231884</v>
      </c>
      <c r="P1111" s="7">
        <f t="shared" si="170"/>
        <v>5</v>
      </c>
      <c r="Q1111" s="7">
        <f t="shared" si="170"/>
        <v>1210</v>
      </c>
      <c r="R1111" s="10">
        <f t="shared" si="170"/>
        <v>1779.7949931666667</v>
      </c>
      <c r="S1111" s="10">
        <f t="shared" si="170"/>
        <v>703.1939972666667</v>
      </c>
      <c r="T1111" s="10">
        <f t="shared" si="170"/>
        <v>351.5969986333333</v>
      </c>
      <c r="U1111" s="10">
        <f t="shared" si="170"/>
        <v>351.5969986333333</v>
      </c>
      <c r="V1111" s="10">
        <f t="shared" si="170"/>
        <v>351.5969986333333</v>
      </c>
      <c r="W1111" s="10">
        <f t="shared" si="170"/>
        <v>0</v>
      </c>
      <c r="X1111" s="10">
        <f t="shared" si="170"/>
        <v>21.81</v>
      </c>
      <c r="Y1111" s="4">
        <f t="shared" si="165"/>
        <v>703.1939972666667</v>
      </c>
    </row>
    <row r="1112" spans="1:25" ht="12.75" customHeight="1" outlineLevel="2">
      <c r="A1112" s="170">
        <v>1</v>
      </c>
      <c r="B1112" s="162" t="s">
        <v>636</v>
      </c>
      <c r="C1112" s="162"/>
      <c r="D1112" s="162"/>
      <c r="E1112" s="162"/>
      <c r="F1112" s="162"/>
      <c r="G1112" s="162"/>
      <c r="H1112" s="162"/>
      <c r="I1112" s="162"/>
      <c r="J1112" s="162"/>
      <c r="K1112" s="162"/>
      <c r="L1112" s="162"/>
      <c r="M1112" s="162"/>
      <c r="N1112" s="162"/>
      <c r="O1112" s="162"/>
      <c r="P1112" s="162"/>
      <c r="Q1112" s="162"/>
      <c r="R1112" s="162"/>
      <c r="S1112" s="162"/>
      <c r="T1112" s="162"/>
      <c r="U1112" s="162"/>
      <c r="V1112" s="162"/>
      <c r="W1112" s="162"/>
      <c r="X1112" s="162"/>
      <c r="Y1112" s="4">
        <f t="shared" si="165"/>
        <v>0</v>
      </c>
    </row>
    <row r="1113" spans="1:25" ht="18" outlineLevel="2">
      <c r="A1113" s="170"/>
      <c r="B1113" s="5">
        <f>D1113+G1113+J1113</f>
        <v>33</v>
      </c>
      <c r="C1113" s="8">
        <f>E1113+H1113+K1113</f>
        <v>97.74187500000001</v>
      </c>
      <c r="D1113" s="5">
        <v>33</v>
      </c>
      <c r="E1113" s="8">
        <f>D1113*FORECAST(D1113,AA$11:AA$12,Z$11:Z$12)</f>
        <v>97.74187500000001</v>
      </c>
      <c r="F1113" s="5" t="s">
        <v>433</v>
      </c>
      <c r="G1113" s="5"/>
      <c r="H1113" s="5"/>
      <c r="I1113" s="5"/>
      <c r="J1113" s="5"/>
      <c r="K1113" s="5"/>
      <c r="L1113" s="5"/>
      <c r="M1113" s="5"/>
      <c r="N1113" s="5">
        <v>770</v>
      </c>
      <c r="O1113" s="8">
        <f>C1113/0.92</f>
        <v>106.24116847826087</v>
      </c>
      <c r="P1113" s="5"/>
      <c r="Q1113" s="5"/>
      <c r="R1113" s="8">
        <f>1.454*C1113</f>
        <v>142.11668625000001</v>
      </c>
      <c r="S1113" s="9">
        <f>E1113*1.454*0.4</f>
        <v>56.846674500000006</v>
      </c>
      <c r="T1113" s="9">
        <f>E1113*1.454*0.2</f>
        <v>28.423337250000003</v>
      </c>
      <c r="U1113" s="9">
        <f>E1113*1.454*0.2</f>
        <v>28.423337250000003</v>
      </c>
      <c r="V1113" s="9">
        <f>E1113*1.454*0.2</f>
        <v>28.423337250000003</v>
      </c>
      <c r="W1113" s="9">
        <f>H1113*1.454</f>
        <v>0</v>
      </c>
      <c r="X1113" s="9">
        <f>K1113*1.454</f>
        <v>0</v>
      </c>
      <c r="Y1113" s="4">
        <f t="shared" si="165"/>
        <v>56.846674500000006</v>
      </c>
    </row>
    <row r="1114" spans="1:25" ht="12.75" customHeight="1" outlineLevel="2">
      <c r="A1114" s="170">
        <v>2</v>
      </c>
      <c r="B1114" s="162" t="s">
        <v>298</v>
      </c>
      <c r="C1114" s="162"/>
      <c r="D1114" s="162"/>
      <c r="E1114" s="162"/>
      <c r="F1114" s="162"/>
      <c r="G1114" s="162"/>
      <c r="H1114" s="162"/>
      <c r="I1114" s="162"/>
      <c r="J1114" s="162"/>
      <c r="K1114" s="162"/>
      <c r="L1114" s="162"/>
      <c r="M1114" s="162"/>
      <c r="N1114" s="162"/>
      <c r="O1114" s="162"/>
      <c r="P1114" s="162"/>
      <c r="Q1114" s="162"/>
      <c r="R1114" s="162"/>
      <c r="S1114" s="162"/>
      <c r="T1114" s="162"/>
      <c r="U1114" s="162"/>
      <c r="V1114" s="162"/>
      <c r="W1114" s="162"/>
      <c r="X1114" s="162"/>
      <c r="Y1114" s="4">
        <f t="shared" si="165"/>
        <v>0</v>
      </c>
    </row>
    <row r="1115" spans="1:25" ht="18" outlineLevel="2">
      <c r="A1115" s="170"/>
      <c r="B1115" s="5">
        <f>D1115+G1115+J1115</f>
        <v>8</v>
      </c>
      <c r="C1115" s="8">
        <f>E1115+H1115+K1115</f>
        <v>49.81333333333332</v>
      </c>
      <c r="D1115" s="5">
        <v>8</v>
      </c>
      <c r="E1115" s="8">
        <f>D1115*FORECAST(D1115,AA$6:AA$7,Z$6:Z$7)</f>
        <v>49.81333333333332</v>
      </c>
      <c r="F1115" s="5" t="s">
        <v>433</v>
      </c>
      <c r="G1115" s="5"/>
      <c r="H1115" s="5"/>
      <c r="I1115" s="5"/>
      <c r="J1115" s="5"/>
      <c r="K1115" s="5"/>
      <c r="L1115" s="5"/>
      <c r="M1115" s="5"/>
      <c r="N1115" s="5">
        <v>100</v>
      </c>
      <c r="O1115" s="8">
        <f>C1115/0.92</f>
        <v>54.14492753623187</v>
      </c>
      <c r="P1115" s="5"/>
      <c r="Q1115" s="5"/>
      <c r="R1115" s="8">
        <f>1.454*C1115</f>
        <v>72.42858666666665</v>
      </c>
      <c r="S1115" s="9">
        <f>E1115*1.454*0.4</f>
        <v>28.97143466666666</v>
      </c>
      <c r="T1115" s="9">
        <f>E1115*1.454*0.2</f>
        <v>14.48571733333333</v>
      </c>
      <c r="U1115" s="9">
        <f>E1115*1.454*0.2</f>
        <v>14.48571733333333</v>
      </c>
      <c r="V1115" s="9">
        <f>E1115*1.454*0.2</f>
        <v>14.48571733333333</v>
      </c>
      <c r="W1115" s="9">
        <f>H1115*1.454</f>
        <v>0</v>
      </c>
      <c r="X1115" s="9">
        <f>K1115*1.454</f>
        <v>0</v>
      </c>
      <c r="Y1115" s="4">
        <f t="shared" si="165"/>
        <v>28.97143466666666</v>
      </c>
    </row>
    <row r="1116" spans="1:25" ht="12.75" customHeight="1" outlineLevel="2">
      <c r="A1116" s="170">
        <v>3</v>
      </c>
      <c r="B1116" s="162" t="s">
        <v>299</v>
      </c>
      <c r="C1116" s="162"/>
      <c r="D1116" s="162"/>
      <c r="E1116" s="162"/>
      <c r="F1116" s="162"/>
      <c r="G1116" s="162"/>
      <c r="H1116" s="162"/>
      <c r="I1116" s="162"/>
      <c r="J1116" s="162"/>
      <c r="K1116" s="162"/>
      <c r="L1116" s="162"/>
      <c r="M1116" s="162"/>
      <c r="N1116" s="162"/>
      <c r="O1116" s="162"/>
      <c r="P1116" s="162"/>
      <c r="Q1116" s="162"/>
      <c r="R1116" s="162"/>
      <c r="S1116" s="162"/>
      <c r="T1116" s="162"/>
      <c r="U1116" s="162"/>
      <c r="V1116" s="162"/>
      <c r="W1116" s="162"/>
      <c r="X1116" s="162"/>
      <c r="Y1116" s="4">
        <f t="shared" si="165"/>
        <v>0</v>
      </c>
    </row>
    <row r="1117" spans="1:25" ht="18" outlineLevel="2">
      <c r="A1117" s="170"/>
      <c r="B1117" s="5">
        <f>D1117+G1117+J1117</f>
        <v>13</v>
      </c>
      <c r="C1117" s="8">
        <f>E1117+H1117+K1117</f>
        <v>61.79333333333334</v>
      </c>
      <c r="D1117" s="5">
        <v>13</v>
      </c>
      <c r="E1117" s="8">
        <f>D1117*FORECAST(D1117,AA$8:AA$9,Z$8:Z$9)</f>
        <v>61.79333333333334</v>
      </c>
      <c r="F1117" s="5" t="s">
        <v>433</v>
      </c>
      <c r="G1117" s="5"/>
      <c r="H1117" s="5"/>
      <c r="I1117" s="5"/>
      <c r="J1117" s="5"/>
      <c r="K1117" s="5"/>
      <c r="L1117" s="5"/>
      <c r="M1117" s="5"/>
      <c r="N1117" s="5">
        <v>420</v>
      </c>
      <c r="O1117" s="8">
        <f>C1117/0.92</f>
        <v>67.16666666666667</v>
      </c>
      <c r="P1117" s="5"/>
      <c r="Q1117" s="5"/>
      <c r="R1117" s="8">
        <f>1.454*C1117</f>
        <v>89.84750666666667</v>
      </c>
      <c r="S1117" s="9">
        <f>E1117*1.454*0.4</f>
        <v>35.939002666666674</v>
      </c>
      <c r="T1117" s="9">
        <f>E1117*1.454*0.2</f>
        <v>17.969501333333337</v>
      </c>
      <c r="U1117" s="9">
        <f>E1117*1.454*0.2</f>
        <v>17.969501333333337</v>
      </c>
      <c r="V1117" s="9">
        <f>E1117*1.454*0.2</f>
        <v>17.969501333333337</v>
      </c>
      <c r="W1117" s="9">
        <f>H1117*1.454</f>
        <v>0</v>
      </c>
      <c r="X1117" s="9">
        <f>K1117*1.454</f>
        <v>0</v>
      </c>
      <c r="Y1117" s="4">
        <f t="shared" si="165"/>
        <v>35.939002666666674</v>
      </c>
    </row>
    <row r="1118" spans="1:25" ht="36" outlineLevel="2">
      <c r="A1118" s="6" t="s">
        <v>431</v>
      </c>
      <c r="B1118" s="7">
        <f>B1113+B1115+B1117</f>
        <v>54</v>
      </c>
      <c r="C1118" s="10">
        <f>C1113+C1115+C1117</f>
        <v>209.34854166666668</v>
      </c>
      <c r="D1118" s="7">
        <f>D1113+D1115+D1117</f>
        <v>54</v>
      </c>
      <c r="E1118" s="10">
        <f>E1113+E1115+E1117</f>
        <v>209.34854166666668</v>
      </c>
      <c r="F1118" s="7" t="s">
        <v>433</v>
      </c>
      <c r="G1118" s="7">
        <f>G1113+G1115+G1117</f>
        <v>0</v>
      </c>
      <c r="H1118" s="7">
        <f>H1113+H1115+H1117</f>
        <v>0</v>
      </c>
      <c r="I1118" s="7" t="s">
        <v>441</v>
      </c>
      <c r="J1118" s="7">
        <f>J1113+J1115+J1117</f>
        <v>0</v>
      </c>
      <c r="K1118" s="7">
        <f>K1113+K1115+K1117</f>
        <v>0</v>
      </c>
      <c r="L1118" s="7" t="s">
        <v>441</v>
      </c>
      <c r="M1118" s="7">
        <f aca="true" t="shared" si="171" ref="M1118:X1118">M1113+M1115+M1117</f>
        <v>0</v>
      </c>
      <c r="N1118" s="7">
        <f t="shared" si="171"/>
        <v>1290</v>
      </c>
      <c r="O1118" s="10">
        <f t="shared" si="171"/>
        <v>227.55276268115944</v>
      </c>
      <c r="P1118" s="7">
        <f t="shared" si="171"/>
        <v>0</v>
      </c>
      <c r="Q1118" s="7">
        <f t="shared" si="171"/>
        <v>0</v>
      </c>
      <c r="R1118" s="10">
        <f t="shared" si="171"/>
        <v>304.3927795833333</v>
      </c>
      <c r="S1118" s="10">
        <f t="shared" si="171"/>
        <v>121.75711183333334</v>
      </c>
      <c r="T1118" s="10">
        <f t="shared" si="171"/>
        <v>60.87855591666667</v>
      </c>
      <c r="U1118" s="10">
        <f t="shared" si="171"/>
        <v>60.87855591666667</v>
      </c>
      <c r="V1118" s="10">
        <f t="shared" si="171"/>
        <v>60.87855591666667</v>
      </c>
      <c r="W1118" s="10">
        <f t="shared" si="171"/>
        <v>0</v>
      </c>
      <c r="X1118" s="10">
        <f t="shared" si="171"/>
        <v>0</v>
      </c>
      <c r="Y1118" s="4">
        <f t="shared" si="165"/>
        <v>121.75711183333334</v>
      </c>
    </row>
    <row r="1119" spans="1:25" ht="12.75" customHeight="1" outlineLevel="2">
      <c r="A1119" s="170">
        <v>1</v>
      </c>
      <c r="B1119" s="162" t="s">
        <v>300</v>
      </c>
      <c r="C1119" s="162"/>
      <c r="D1119" s="162"/>
      <c r="E1119" s="162"/>
      <c r="F1119" s="162"/>
      <c r="G1119" s="162"/>
      <c r="H1119" s="162"/>
      <c r="I1119" s="162"/>
      <c r="J1119" s="162"/>
      <c r="K1119" s="162"/>
      <c r="L1119" s="162"/>
      <c r="M1119" s="162"/>
      <c r="N1119" s="162"/>
      <c r="O1119" s="162"/>
      <c r="P1119" s="162"/>
      <c r="Q1119" s="162"/>
      <c r="R1119" s="162"/>
      <c r="S1119" s="162"/>
      <c r="T1119" s="162"/>
      <c r="U1119" s="162"/>
      <c r="V1119" s="162"/>
      <c r="W1119" s="162"/>
      <c r="X1119" s="162"/>
      <c r="Y1119" s="4">
        <f t="shared" si="165"/>
        <v>0</v>
      </c>
    </row>
    <row r="1120" spans="1:25" ht="18" outlineLevel="2">
      <c r="A1120" s="170"/>
      <c r="B1120" s="5">
        <f>D1120+G1120+J1120</f>
        <v>45</v>
      </c>
      <c r="C1120" s="8">
        <f>E1120+H1120+K1120</f>
        <v>116.55</v>
      </c>
      <c r="D1120" s="5">
        <v>45</v>
      </c>
      <c r="E1120" s="8">
        <f>D1120*FORECAST(D1120,AA$12:AA$13,Z$12:Z$13)</f>
        <v>116.55</v>
      </c>
      <c r="F1120" s="5" t="s">
        <v>433</v>
      </c>
      <c r="G1120" s="5"/>
      <c r="H1120" s="5"/>
      <c r="I1120" s="5"/>
      <c r="J1120" s="5"/>
      <c r="K1120" s="5"/>
      <c r="L1120" s="5"/>
      <c r="M1120" s="5"/>
      <c r="N1120" s="5">
        <v>500</v>
      </c>
      <c r="O1120" s="8">
        <f>C1120/0.92</f>
        <v>126.68478260869564</v>
      </c>
      <c r="P1120" s="5"/>
      <c r="Q1120" s="5"/>
      <c r="R1120" s="8">
        <f>1.454*C1120</f>
        <v>169.4637</v>
      </c>
      <c r="S1120" s="9">
        <f>E1120*1.454*0.4</f>
        <v>67.78547999999999</v>
      </c>
      <c r="T1120" s="9">
        <f>E1120*1.454*0.2</f>
        <v>33.892739999999996</v>
      </c>
      <c r="U1120" s="9">
        <f>E1120*1.454*0.2</f>
        <v>33.892739999999996</v>
      </c>
      <c r="V1120" s="9">
        <f>E1120*1.454*0.2</f>
        <v>33.892739999999996</v>
      </c>
      <c r="W1120" s="9">
        <f>H1120*1.454</f>
        <v>0</v>
      </c>
      <c r="X1120" s="9">
        <f>K1120*1.454</f>
        <v>0</v>
      </c>
      <c r="Y1120" s="4">
        <f t="shared" si="165"/>
        <v>67.78547999999999</v>
      </c>
    </row>
    <row r="1121" spans="1:25" ht="12.75" customHeight="1" outlineLevel="2">
      <c r="A1121" s="170">
        <v>1</v>
      </c>
      <c r="B1121" s="162" t="s">
        <v>301</v>
      </c>
      <c r="C1121" s="162"/>
      <c r="D1121" s="162"/>
      <c r="E1121" s="162"/>
      <c r="F1121" s="162"/>
      <c r="G1121" s="162"/>
      <c r="H1121" s="162"/>
      <c r="I1121" s="162"/>
      <c r="J1121" s="162"/>
      <c r="K1121" s="162"/>
      <c r="L1121" s="162"/>
      <c r="M1121" s="162"/>
      <c r="N1121" s="162"/>
      <c r="O1121" s="162"/>
      <c r="P1121" s="162"/>
      <c r="Q1121" s="162"/>
      <c r="R1121" s="162"/>
      <c r="S1121" s="162"/>
      <c r="T1121" s="162"/>
      <c r="U1121" s="162"/>
      <c r="V1121" s="162"/>
      <c r="W1121" s="162"/>
      <c r="X1121" s="162"/>
      <c r="Y1121" s="4">
        <f t="shared" si="165"/>
        <v>0</v>
      </c>
    </row>
    <row r="1122" spans="1:25" ht="18" outlineLevel="2">
      <c r="A1122" s="170"/>
      <c r="B1122" s="5">
        <f>D1122+G1122+J1122</f>
        <v>78</v>
      </c>
      <c r="C1122" s="8">
        <f>E1122+H1122+K1122</f>
        <v>177.918</v>
      </c>
      <c r="D1122" s="5">
        <v>78</v>
      </c>
      <c r="E1122" s="8">
        <f>D1122*FORECAST(D1122,AA$13:AA$14,Z$13:Z$14)</f>
        <v>177.918</v>
      </c>
      <c r="F1122" s="5" t="s">
        <v>433</v>
      </c>
      <c r="G1122" s="5"/>
      <c r="H1122" s="5"/>
      <c r="I1122" s="5"/>
      <c r="J1122" s="5"/>
      <c r="K1122" s="5"/>
      <c r="L1122" s="5"/>
      <c r="M1122" s="5"/>
      <c r="N1122" s="5">
        <v>1500</v>
      </c>
      <c r="O1122" s="8">
        <f>C1122/0.92</f>
        <v>193.3891304347826</v>
      </c>
      <c r="P1122" s="5"/>
      <c r="Q1122" s="5"/>
      <c r="R1122" s="8">
        <f>1.454*C1122</f>
        <v>258.692772</v>
      </c>
      <c r="S1122" s="9">
        <f>E1122*1.454*0.4</f>
        <v>103.4771088</v>
      </c>
      <c r="T1122" s="9">
        <f>E1122*1.454*0.2</f>
        <v>51.7385544</v>
      </c>
      <c r="U1122" s="9">
        <f>E1122*1.454*0.2</f>
        <v>51.7385544</v>
      </c>
      <c r="V1122" s="9">
        <f>E1122*1.454*0.2</f>
        <v>51.7385544</v>
      </c>
      <c r="W1122" s="9">
        <f>H1122*1.454</f>
        <v>0</v>
      </c>
      <c r="X1122" s="9">
        <f>K1122*1.454</f>
        <v>0</v>
      </c>
      <c r="Y1122" s="4">
        <f t="shared" si="165"/>
        <v>103.4771088</v>
      </c>
    </row>
    <row r="1123" spans="1:25" ht="12.75" customHeight="1" outlineLevel="2">
      <c r="A1123" s="170">
        <v>1</v>
      </c>
      <c r="B1123" s="162" t="s">
        <v>302</v>
      </c>
      <c r="C1123" s="162"/>
      <c r="D1123" s="162"/>
      <c r="E1123" s="162"/>
      <c r="F1123" s="162"/>
      <c r="G1123" s="162"/>
      <c r="H1123" s="162"/>
      <c r="I1123" s="162"/>
      <c r="J1123" s="162"/>
      <c r="K1123" s="162"/>
      <c r="L1123" s="162"/>
      <c r="M1123" s="162"/>
      <c r="N1123" s="162"/>
      <c r="O1123" s="162"/>
      <c r="P1123" s="162"/>
      <c r="Q1123" s="162"/>
      <c r="R1123" s="162"/>
      <c r="S1123" s="162"/>
      <c r="T1123" s="162"/>
      <c r="U1123" s="162"/>
      <c r="V1123" s="162"/>
      <c r="W1123" s="162"/>
      <c r="X1123" s="162"/>
      <c r="Y1123" s="4">
        <f t="shared" si="165"/>
        <v>0</v>
      </c>
    </row>
    <row r="1124" spans="1:25" ht="18" outlineLevel="2">
      <c r="A1124" s="170"/>
      <c r="B1124" s="5">
        <f>D1124+G1124+J1124</f>
        <v>3</v>
      </c>
      <c r="C1124" s="8">
        <f>E1124+H1124+K1124</f>
        <v>25.319999999999993</v>
      </c>
      <c r="D1124" s="5">
        <v>3</v>
      </c>
      <c r="E1124" s="8">
        <f>D1124*FORECAST(D1124,AA$4:AA$5,Z$4:Z$5)</f>
        <v>25.319999999999993</v>
      </c>
      <c r="F1124" s="5" t="s">
        <v>433</v>
      </c>
      <c r="G1124" s="5"/>
      <c r="H1124" s="5"/>
      <c r="I1124" s="5"/>
      <c r="J1124" s="5"/>
      <c r="K1124" s="5"/>
      <c r="L1124" s="5"/>
      <c r="M1124" s="5"/>
      <c r="N1124" s="5">
        <v>150</v>
      </c>
      <c r="O1124" s="8">
        <f>C1124/0.92</f>
        <v>27.521739130434774</v>
      </c>
      <c r="P1124" s="5"/>
      <c r="Q1124" s="5"/>
      <c r="R1124" s="8">
        <f>1.454*C1124</f>
        <v>36.81527999999999</v>
      </c>
      <c r="S1124" s="9">
        <f>E1124*1.454*0.4</f>
        <v>14.726111999999995</v>
      </c>
      <c r="T1124" s="9">
        <f>E1124*1.454*0.2</f>
        <v>7.363055999999998</v>
      </c>
      <c r="U1124" s="9">
        <f>E1124*1.454*0.2</f>
        <v>7.363055999999998</v>
      </c>
      <c r="V1124" s="9">
        <f>E1124*1.454*0.2</f>
        <v>7.363055999999998</v>
      </c>
      <c r="W1124" s="9">
        <f>H1124*1.454</f>
        <v>0</v>
      </c>
      <c r="X1124" s="9">
        <f>K1124*1.454</f>
        <v>0</v>
      </c>
      <c r="Y1124" s="4">
        <f aca="true" t="shared" si="172" ref="Y1124:Y1189">U1124*2</f>
        <v>14.726111999999995</v>
      </c>
    </row>
    <row r="1125" spans="1:25" ht="12.75" customHeight="1" outlineLevel="2">
      <c r="A1125" s="170">
        <v>2</v>
      </c>
      <c r="B1125" s="162" t="s">
        <v>303</v>
      </c>
      <c r="C1125" s="162"/>
      <c r="D1125" s="162"/>
      <c r="E1125" s="162"/>
      <c r="F1125" s="162"/>
      <c r="G1125" s="162"/>
      <c r="H1125" s="162"/>
      <c r="I1125" s="162"/>
      <c r="J1125" s="162"/>
      <c r="K1125" s="162"/>
      <c r="L1125" s="162"/>
      <c r="M1125" s="162"/>
      <c r="N1125" s="162"/>
      <c r="O1125" s="162"/>
      <c r="P1125" s="162"/>
      <c r="Q1125" s="162"/>
      <c r="R1125" s="162"/>
      <c r="S1125" s="162"/>
      <c r="T1125" s="162"/>
      <c r="U1125" s="162"/>
      <c r="V1125" s="162"/>
      <c r="W1125" s="162"/>
      <c r="X1125" s="162"/>
      <c r="Y1125" s="4">
        <f t="shared" si="172"/>
        <v>0</v>
      </c>
    </row>
    <row r="1126" spans="1:25" ht="18" outlineLevel="2">
      <c r="A1126" s="170"/>
      <c r="B1126" s="5">
        <f>D1126+G1126+J1126</f>
        <v>3</v>
      </c>
      <c r="C1126" s="8">
        <f>E1126+H1126+K1126</f>
        <v>25.319999999999993</v>
      </c>
      <c r="D1126" s="5">
        <v>3</v>
      </c>
      <c r="E1126" s="8">
        <f>D1126*FORECAST(D1126,AA$4:AA$5,Z$4:Z$5)</f>
        <v>25.319999999999993</v>
      </c>
      <c r="F1126" s="5" t="s">
        <v>433</v>
      </c>
      <c r="G1126" s="5"/>
      <c r="H1126" s="5"/>
      <c r="I1126" s="5"/>
      <c r="J1126" s="5"/>
      <c r="K1126" s="5"/>
      <c r="L1126" s="5"/>
      <c r="M1126" s="5"/>
      <c r="N1126" s="5">
        <v>150</v>
      </c>
      <c r="O1126" s="8">
        <f>C1126/0.92</f>
        <v>27.521739130434774</v>
      </c>
      <c r="P1126" s="5">
        <f>1</f>
        <v>1</v>
      </c>
      <c r="Q1126" s="5">
        <f>250</f>
        <v>250</v>
      </c>
      <c r="R1126" s="8">
        <f>1.454*C1126</f>
        <v>36.81527999999999</v>
      </c>
      <c r="S1126" s="9">
        <f>E1126*1.454*0.4</f>
        <v>14.726111999999995</v>
      </c>
      <c r="T1126" s="9">
        <f>E1126*1.454*0.2</f>
        <v>7.363055999999998</v>
      </c>
      <c r="U1126" s="9">
        <f>E1126*1.454*0.2</f>
        <v>7.363055999999998</v>
      </c>
      <c r="V1126" s="9">
        <f>E1126*1.454*0.2</f>
        <v>7.363055999999998</v>
      </c>
      <c r="W1126" s="9">
        <f>H1126*1.454</f>
        <v>0</v>
      </c>
      <c r="X1126" s="9">
        <f>K1126*1.454</f>
        <v>0</v>
      </c>
      <c r="Y1126" s="4">
        <f t="shared" si="172"/>
        <v>14.726111999999995</v>
      </c>
    </row>
    <row r="1127" spans="1:25" ht="12.75" customHeight="1" outlineLevel="2">
      <c r="A1127" s="170">
        <v>3</v>
      </c>
      <c r="B1127" s="162" t="s">
        <v>304</v>
      </c>
      <c r="C1127" s="162"/>
      <c r="D1127" s="162"/>
      <c r="E1127" s="162"/>
      <c r="F1127" s="162"/>
      <c r="G1127" s="162"/>
      <c r="H1127" s="162"/>
      <c r="I1127" s="162"/>
      <c r="J1127" s="162"/>
      <c r="K1127" s="162"/>
      <c r="L1127" s="162"/>
      <c r="M1127" s="162"/>
      <c r="N1127" s="162"/>
      <c r="O1127" s="162"/>
      <c r="P1127" s="162"/>
      <c r="Q1127" s="162"/>
      <c r="R1127" s="162"/>
      <c r="S1127" s="162"/>
      <c r="T1127" s="162"/>
      <c r="U1127" s="162"/>
      <c r="V1127" s="162"/>
      <c r="W1127" s="162"/>
      <c r="X1127" s="162"/>
      <c r="Y1127" s="4">
        <f t="shared" si="172"/>
        <v>0</v>
      </c>
    </row>
    <row r="1128" spans="1:25" ht="18" outlineLevel="2">
      <c r="A1128" s="170"/>
      <c r="B1128" s="5">
        <f>D1128+G1128+J1128</f>
        <v>3</v>
      </c>
      <c r="C1128" s="8">
        <f>E1128+H1128+K1128</f>
        <v>25.319999999999993</v>
      </c>
      <c r="D1128" s="5">
        <v>3</v>
      </c>
      <c r="E1128" s="8">
        <f>D1128*FORECAST(D1128,AA$4:AA$5,Z$4:Z$5)</f>
        <v>25.319999999999993</v>
      </c>
      <c r="F1128" s="5" t="s">
        <v>433</v>
      </c>
      <c r="G1128" s="5"/>
      <c r="H1128" s="5"/>
      <c r="I1128" s="5"/>
      <c r="J1128" s="5"/>
      <c r="K1128" s="5"/>
      <c r="L1128" s="5"/>
      <c r="M1128" s="5"/>
      <c r="N1128" s="5">
        <v>100</v>
      </c>
      <c r="O1128" s="8">
        <f>C1128/0.92</f>
        <v>27.521739130434774</v>
      </c>
      <c r="P1128" s="5"/>
      <c r="Q1128" s="5"/>
      <c r="R1128" s="8">
        <f>1.454*C1128</f>
        <v>36.81527999999999</v>
      </c>
      <c r="S1128" s="9">
        <f>E1128*1.454*0.4</f>
        <v>14.726111999999995</v>
      </c>
      <c r="T1128" s="9">
        <f>E1128*1.454*0.2</f>
        <v>7.363055999999998</v>
      </c>
      <c r="U1128" s="9">
        <f>E1128*1.454*0.2</f>
        <v>7.363055999999998</v>
      </c>
      <c r="V1128" s="9">
        <f>E1128*1.454*0.2</f>
        <v>7.363055999999998</v>
      </c>
      <c r="W1128" s="9">
        <f>H1128*1.454</f>
        <v>0</v>
      </c>
      <c r="X1128" s="9">
        <f>K1128*1.454</f>
        <v>0</v>
      </c>
      <c r="Y1128" s="4">
        <f t="shared" si="172"/>
        <v>14.726111999999995</v>
      </c>
    </row>
    <row r="1129" spans="1:25" ht="36" outlineLevel="2">
      <c r="A1129" s="6" t="s">
        <v>431</v>
      </c>
      <c r="B1129" s="7">
        <f>B1124+B1126+B1128</f>
        <v>9</v>
      </c>
      <c r="C1129" s="10">
        <f>C1124+C1126+C1128</f>
        <v>75.95999999999998</v>
      </c>
      <c r="D1129" s="7">
        <f>D1124+D1126+D1128</f>
        <v>9</v>
      </c>
      <c r="E1129" s="10">
        <f>E1124+E1126+E1128</f>
        <v>75.95999999999998</v>
      </c>
      <c r="F1129" s="7" t="s">
        <v>433</v>
      </c>
      <c r="G1129" s="7">
        <f>G1124+G1126+G1128</f>
        <v>0</v>
      </c>
      <c r="H1129" s="7">
        <f>H1124+H1126+H1128</f>
        <v>0</v>
      </c>
      <c r="I1129" s="7" t="s">
        <v>441</v>
      </c>
      <c r="J1129" s="7">
        <f>J1124+J1126+J1128</f>
        <v>0</v>
      </c>
      <c r="K1129" s="7">
        <f>K1124+K1126+K1128</f>
        <v>0</v>
      </c>
      <c r="L1129" s="7" t="s">
        <v>441</v>
      </c>
      <c r="M1129" s="7">
        <f aca="true" t="shared" si="173" ref="M1129:R1129">M1124+M1126+M1128</f>
        <v>0</v>
      </c>
      <c r="N1129" s="7">
        <f t="shared" si="173"/>
        <v>400</v>
      </c>
      <c r="O1129" s="10">
        <f t="shared" si="173"/>
        <v>82.56521739130432</v>
      </c>
      <c r="P1129" s="7">
        <f t="shared" si="173"/>
        <v>1</v>
      </c>
      <c r="Q1129" s="7">
        <f t="shared" si="173"/>
        <v>250</v>
      </c>
      <c r="R1129" s="10">
        <f t="shared" si="173"/>
        <v>110.44583999999996</v>
      </c>
      <c r="S1129" s="10">
        <f aca="true" t="shared" si="174" ref="S1129:X1129">S1124+S1126+S1128</f>
        <v>44.17833599999999</v>
      </c>
      <c r="T1129" s="10">
        <f t="shared" si="174"/>
        <v>22.089167999999994</v>
      </c>
      <c r="U1129" s="10">
        <f t="shared" si="174"/>
        <v>22.089167999999994</v>
      </c>
      <c r="V1129" s="10">
        <f t="shared" si="174"/>
        <v>22.089167999999994</v>
      </c>
      <c r="W1129" s="10">
        <f t="shared" si="174"/>
        <v>0</v>
      </c>
      <c r="X1129" s="10">
        <f t="shared" si="174"/>
        <v>0</v>
      </c>
      <c r="Y1129" s="4">
        <f t="shared" si="172"/>
        <v>44.17833599999999</v>
      </c>
    </row>
    <row r="1130" spans="1:24" ht="18" customHeight="1" outlineLevel="2">
      <c r="A1130" s="164">
        <v>1</v>
      </c>
      <c r="B1130" s="162" t="s">
        <v>721</v>
      </c>
      <c r="C1130" s="162"/>
      <c r="D1130" s="162"/>
      <c r="E1130" s="162"/>
      <c r="F1130" s="162"/>
      <c r="G1130" s="162"/>
      <c r="H1130" s="162"/>
      <c r="I1130" s="162"/>
      <c r="J1130" s="162"/>
      <c r="K1130" s="162"/>
      <c r="L1130" s="162"/>
      <c r="M1130" s="162"/>
      <c r="N1130" s="162"/>
      <c r="O1130" s="162"/>
      <c r="P1130" s="162"/>
      <c r="Q1130" s="162"/>
      <c r="R1130" s="162"/>
      <c r="S1130" s="162"/>
      <c r="T1130" s="162"/>
      <c r="U1130" s="162"/>
      <c r="V1130" s="162"/>
      <c r="W1130" s="162"/>
      <c r="X1130" s="162"/>
    </row>
    <row r="1131" spans="1:24" ht="18" outlineLevel="2">
      <c r="A1131" s="164"/>
      <c r="B1131" s="7">
        <v>89</v>
      </c>
      <c r="C1131" s="10">
        <v>267</v>
      </c>
      <c r="D1131" s="7">
        <v>89</v>
      </c>
      <c r="E1131" s="10">
        <v>267</v>
      </c>
      <c r="F1131" s="7" t="s">
        <v>433</v>
      </c>
      <c r="G1131" s="7"/>
      <c r="H1131" s="7"/>
      <c r="I1131" s="7"/>
      <c r="J1131" s="7"/>
      <c r="K1131" s="7"/>
      <c r="L1131" s="7"/>
      <c r="M1131" s="7">
        <v>50</v>
      </c>
      <c r="N1131" s="7">
        <v>1500</v>
      </c>
      <c r="O1131" s="10">
        <v>160</v>
      </c>
      <c r="P1131" s="7">
        <v>1</v>
      </c>
      <c r="Q1131" s="7">
        <v>160</v>
      </c>
      <c r="R1131" s="10">
        <v>160</v>
      </c>
      <c r="S1131" s="10">
        <v>64</v>
      </c>
      <c r="T1131" s="10">
        <v>32</v>
      </c>
      <c r="U1131" s="10">
        <v>32</v>
      </c>
      <c r="V1131" s="10">
        <v>32</v>
      </c>
      <c r="W1131" s="10">
        <v>0</v>
      </c>
      <c r="X1131" s="10">
        <v>0</v>
      </c>
    </row>
    <row r="1132" spans="1:25" ht="36" outlineLevel="1">
      <c r="A1132" s="6" t="s">
        <v>437</v>
      </c>
      <c r="B1132" s="7">
        <f>B1118+B1120+B1122+B1129+B1111+B1091+B1033+B1131</f>
        <v>3775</v>
      </c>
      <c r="C1132" s="10">
        <f aca="true" t="shared" si="175" ref="C1132:X1132">C1118+C1120+C1122+C1129+C1111+C1091+C1033+C1131</f>
        <v>10759.454208333333</v>
      </c>
      <c r="D1132" s="7">
        <f t="shared" si="175"/>
        <v>3773</v>
      </c>
      <c r="E1132" s="10">
        <f t="shared" si="175"/>
        <v>10744.454208333333</v>
      </c>
      <c r="F1132" s="7" t="s">
        <v>433</v>
      </c>
      <c r="G1132" s="7">
        <f t="shared" si="175"/>
        <v>0</v>
      </c>
      <c r="H1132" s="7">
        <f t="shared" si="175"/>
        <v>0</v>
      </c>
      <c r="I1132" s="7" t="s">
        <v>441</v>
      </c>
      <c r="J1132" s="7">
        <f t="shared" si="175"/>
        <v>2</v>
      </c>
      <c r="K1132" s="7">
        <f t="shared" si="175"/>
        <v>15</v>
      </c>
      <c r="L1132" s="7" t="s">
        <v>698</v>
      </c>
      <c r="M1132" s="7">
        <f t="shared" si="175"/>
        <v>6100</v>
      </c>
      <c r="N1132" s="7">
        <f t="shared" si="175"/>
        <v>77683</v>
      </c>
      <c r="O1132" s="7">
        <f t="shared" si="175"/>
        <v>11564.841530797097</v>
      </c>
      <c r="P1132" s="7">
        <f t="shared" si="175"/>
        <v>43</v>
      </c>
      <c r="Q1132" s="7">
        <f t="shared" si="175"/>
        <v>10280</v>
      </c>
      <c r="R1132" s="10">
        <f t="shared" si="175"/>
        <v>15416.028418916667</v>
      </c>
      <c r="S1132" s="10">
        <f t="shared" si="175"/>
        <v>6157.687367566667</v>
      </c>
      <c r="T1132" s="10">
        <f t="shared" si="175"/>
        <v>3078.8436837833333</v>
      </c>
      <c r="U1132" s="10">
        <f t="shared" si="175"/>
        <v>3078.8436837833333</v>
      </c>
      <c r="V1132" s="10">
        <f t="shared" si="175"/>
        <v>3078.8436837833333</v>
      </c>
      <c r="W1132" s="7">
        <f t="shared" si="175"/>
        <v>0</v>
      </c>
      <c r="X1132" s="10">
        <f t="shared" si="175"/>
        <v>21.81</v>
      </c>
      <c r="Y1132" s="4">
        <f t="shared" si="172"/>
        <v>6157.687367566667</v>
      </c>
    </row>
    <row r="1133" spans="1:25" ht="12.75" customHeight="1" outlineLevel="1">
      <c r="A1133" s="161" t="s">
        <v>432</v>
      </c>
      <c r="B1133" s="161"/>
      <c r="C1133" s="161"/>
      <c r="D1133" s="161"/>
      <c r="E1133" s="161"/>
      <c r="F1133" s="161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4">
        <f t="shared" si="172"/>
        <v>0</v>
      </c>
    </row>
    <row r="1134" spans="1:25" ht="12.75" customHeight="1" outlineLevel="2">
      <c r="A1134" s="170">
        <v>1</v>
      </c>
      <c r="B1134" s="162" t="s">
        <v>305</v>
      </c>
      <c r="C1134" s="162"/>
      <c r="D1134" s="162"/>
      <c r="E1134" s="162"/>
      <c r="F1134" s="162"/>
      <c r="G1134" s="162"/>
      <c r="H1134" s="162"/>
      <c r="I1134" s="162"/>
      <c r="J1134" s="162"/>
      <c r="K1134" s="162"/>
      <c r="L1134" s="162"/>
      <c r="M1134" s="162"/>
      <c r="N1134" s="162"/>
      <c r="O1134" s="162"/>
      <c r="P1134" s="162"/>
      <c r="Q1134" s="162"/>
      <c r="R1134" s="162"/>
      <c r="S1134" s="162"/>
      <c r="T1134" s="162"/>
      <c r="U1134" s="162"/>
      <c r="V1134" s="162"/>
      <c r="W1134" s="162"/>
      <c r="X1134" s="162"/>
      <c r="Y1134" s="4">
        <f t="shared" si="172"/>
        <v>0</v>
      </c>
    </row>
    <row r="1135" spans="1:25" ht="18" outlineLevel="2">
      <c r="A1135" s="170"/>
      <c r="B1135" s="5">
        <f>D1135+G1135+J1135</f>
        <v>16</v>
      </c>
      <c r="C1135" s="5">
        <f>E1135+H1135+K1135</f>
        <v>67.19999999999999</v>
      </c>
      <c r="D1135" s="5">
        <v>16</v>
      </c>
      <c r="E1135" s="8">
        <f>D1135*FORECAST(D1135,AA$9:AA$10,Z$9:Z$10)</f>
        <v>67.19999999999999</v>
      </c>
      <c r="F1135" s="5" t="s">
        <v>433</v>
      </c>
      <c r="G1135" s="5"/>
      <c r="H1135" s="5"/>
      <c r="I1135" s="5"/>
      <c r="J1135" s="5"/>
      <c r="K1135" s="5"/>
      <c r="L1135" s="5"/>
      <c r="M1135" s="5"/>
      <c r="N1135" s="5">
        <v>280</v>
      </c>
      <c r="O1135" s="8">
        <f>C1135/0.92</f>
        <v>73.04347826086955</v>
      </c>
      <c r="P1135" s="5"/>
      <c r="Q1135" s="5"/>
      <c r="R1135" s="8">
        <f>1.454*C1135</f>
        <v>97.70879999999998</v>
      </c>
      <c r="S1135" s="9">
        <f>E1135*1.454*0.4</f>
        <v>39.08351999999999</v>
      </c>
      <c r="T1135" s="9">
        <f>E1135*1.454*0.2</f>
        <v>19.541759999999996</v>
      </c>
      <c r="U1135" s="9">
        <f>E1135*1.454*0.2</f>
        <v>19.541759999999996</v>
      </c>
      <c r="V1135" s="9">
        <f>E1135*1.454*0.2</f>
        <v>19.541759999999996</v>
      </c>
      <c r="W1135" s="9">
        <f>H1135*1.454</f>
        <v>0</v>
      </c>
      <c r="X1135" s="9">
        <f>K1135*1.454</f>
        <v>0</v>
      </c>
      <c r="Y1135" s="4">
        <f t="shared" si="172"/>
        <v>39.08351999999999</v>
      </c>
    </row>
    <row r="1136" spans="1:25" ht="12.75" customHeight="1" outlineLevel="2">
      <c r="A1136" s="170">
        <v>1</v>
      </c>
      <c r="B1136" s="162" t="s">
        <v>306</v>
      </c>
      <c r="C1136" s="162"/>
      <c r="D1136" s="162"/>
      <c r="E1136" s="162"/>
      <c r="F1136" s="162"/>
      <c r="G1136" s="162"/>
      <c r="H1136" s="162"/>
      <c r="I1136" s="162"/>
      <c r="J1136" s="162"/>
      <c r="K1136" s="162"/>
      <c r="L1136" s="162"/>
      <c r="M1136" s="162"/>
      <c r="N1136" s="162"/>
      <c r="O1136" s="162"/>
      <c r="P1136" s="162"/>
      <c r="Q1136" s="162"/>
      <c r="R1136" s="162"/>
      <c r="S1136" s="162"/>
      <c r="T1136" s="162"/>
      <c r="U1136" s="162"/>
      <c r="V1136" s="162"/>
      <c r="W1136" s="162"/>
      <c r="X1136" s="162"/>
      <c r="Y1136" s="4">
        <f t="shared" si="172"/>
        <v>0</v>
      </c>
    </row>
    <row r="1137" spans="1:25" ht="18" outlineLevel="2">
      <c r="A1137" s="170"/>
      <c r="B1137" s="5">
        <f>D1137+G1137+J1137</f>
        <v>45</v>
      </c>
      <c r="C1137" s="8">
        <f>E1137+H1137+K1137</f>
        <v>116.55</v>
      </c>
      <c r="D1137" s="5">
        <v>45</v>
      </c>
      <c r="E1137" s="8">
        <f>D1137*FORECAST(D1137,AA$12:AA$13,Z$12:Z$13)</f>
        <v>116.55</v>
      </c>
      <c r="F1137" s="5" t="s">
        <v>433</v>
      </c>
      <c r="G1137" s="5"/>
      <c r="H1137" s="5"/>
      <c r="I1137" s="5"/>
      <c r="J1137" s="5"/>
      <c r="K1137" s="5"/>
      <c r="L1137" s="5"/>
      <c r="M1137" s="5">
        <v>100</v>
      </c>
      <c r="N1137" s="5">
        <v>500</v>
      </c>
      <c r="O1137" s="8">
        <f>C1137/0.92</f>
        <v>126.68478260869564</v>
      </c>
      <c r="P1137" s="5">
        <v>1</v>
      </c>
      <c r="Q1137" s="5">
        <v>160</v>
      </c>
      <c r="R1137" s="8">
        <f>1.454*C1137</f>
        <v>169.4637</v>
      </c>
      <c r="S1137" s="9">
        <f>E1137*1.454*0.4</f>
        <v>67.78547999999999</v>
      </c>
      <c r="T1137" s="9">
        <f>E1137*1.454*0.2</f>
        <v>33.892739999999996</v>
      </c>
      <c r="U1137" s="9">
        <f>E1137*1.454*0.2</f>
        <v>33.892739999999996</v>
      </c>
      <c r="V1137" s="9">
        <f>E1137*1.454*0.2</f>
        <v>33.892739999999996</v>
      </c>
      <c r="W1137" s="9">
        <f>H1137*1.454</f>
        <v>0</v>
      </c>
      <c r="X1137" s="9">
        <f>K1137*1.454</f>
        <v>0</v>
      </c>
      <c r="Y1137" s="4">
        <f t="shared" si="172"/>
        <v>67.78547999999999</v>
      </c>
    </row>
    <row r="1138" spans="1:25" ht="36" outlineLevel="1">
      <c r="A1138" s="6" t="s">
        <v>438</v>
      </c>
      <c r="B1138" s="7">
        <f>B1135+B1137</f>
        <v>61</v>
      </c>
      <c r="C1138" s="10">
        <f>C1135+C1137</f>
        <v>183.75</v>
      </c>
      <c r="D1138" s="7">
        <f>D1135+D1137</f>
        <v>61</v>
      </c>
      <c r="E1138" s="10">
        <f>E1135+E1137</f>
        <v>183.75</v>
      </c>
      <c r="F1138" s="7" t="s">
        <v>433</v>
      </c>
      <c r="G1138" s="7">
        <f>G1135+G1137</f>
        <v>0</v>
      </c>
      <c r="H1138" s="7">
        <f>H1135+H1137</f>
        <v>0</v>
      </c>
      <c r="I1138" s="7" t="s">
        <v>441</v>
      </c>
      <c r="J1138" s="7">
        <f>J1135+J1137</f>
        <v>0</v>
      </c>
      <c r="K1138" s="7">
        <f>K1135+K1137</f>
        <v>0</v>
      </c>
      <c r="L1138" s="7" t="s">
        <v>441</v>
      </c>
      <c r="M1138" s="7">
        <f aca="true" t="shared" si="176" ref="M1138:X1138">M1135+M1137</f>
        <v>100</v>
      </c>
      <c r="N1138" s="7">
        <f t="shared" si="176"/>
        <v>780</v>
      </c>
      <c r="O1138" s="10">
        <f t="shared" si="176"/>
        <v>199.7282608695652</v>
      </c>
      <c r="P1138" s="7">
        <f t="shared" si="176"/>
        <v>1</v>
      </c>
      <c r="Q1138" s="7">
        <f t="shared" si="176"/>
        <v>160</v>
      </c>
      <c r="R1138" s="10">
        <f t="shared" si="176"/>
        <v>267.17249999999996</v>
      </c>
      <c r="S1138" s="10">
        <f t="shared" si="176"/>
        <v>106.86899999999999</v>
      </c>
      <c r="T1138" s="10">
        <f t="shared" si="176"/>
        <v>53.43449999999999</v>
      </c>
      <c r="U1138" s="10">
        <f t="shared" si="176"/>
        <v>53.43449999999999</v>
      </c>
      <c r="V1138" s="10">
        <f t="shared" si="176"/>
        <v>53.43449999999999</v>
      </c>
      <c r="W1138" s="10">
        <f t="shared" si="176"/>
        <v>0</v>
      </c>
      <c r="X1138" s="10">
        <f t="shared" si="176"/>
        <v>0</v>
      </c>
      <c r="Y1138" s="4">
        <f t="shared" si="172"/>
        <v>106.86899999999999</v>
      </c>
    </row>
    <row r="1139" spans="1:25" ht="12.75" customHeight="1" outlineLevel="1">
      <c r="A1139" s="161" t="s">
        <v>439</v>
      </c>
      <c r="B1139" s="161"/>
      <c r="C1139" s="161"/>
      <c r="D1139" s="161"/>
      <c r="E1139" s="161"/>
      <c r="F1139" s="161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4">
        <f t="shared" si="172"/>
        <v>0</v>
      </c>
    </row>
    <row r="1140" spans="1:25" ht="12.75" customHeight="1" outlineLevel="2">
      <c r="A1140" s="170">
        <v>1</v>
      </c>
      <c r="B1140" s="162" t="s">
        <v>307</v>
      </c>
      <c r="C1140" s="162"/>
      <c r="D1140" s="162"/>
      <c r="E1140" s="162"/>
      <c r="F1140" s="162"/>
      <c r="G1140" s="162"/>
      <c r="H1140" s="162"/>
      <c r="I1140" s="162"/>
      <c r="J1140" s="162"/>
      <c r="K1140" s="162"/>
      <c r="L1140" s="162"/>
      <c r="M1140" s="162"/>
      <c r="N1140" s="162"/>
      <c r="O1140" s="162"/>
      <c r="P1140" s="162"/>
      <c r="Q1140" s="162"/>
      <c r="R1140" s="162"/>
      <c r="S1140" s="162"/>
      <c r="T1140" s="162"/>
      <c r="U1140" s="162"/>
      <c r="V1140" s="162"/>
      <c r="W1140" s="162"/>
      <c r="X1140" s="162"/>
      <c r="Y1140" s="4">
        <f t="shared" si="172"/>
        <v>0</v>
      </c>
    </row>
    <row r="1141" spans="1:25" ht="18" outlineLevel="2">
      <c r="A1141" s="170"/>
      <c r="B1141" s="5">
        <f>D1141+G1141+J1141</f>
        <v>300</v>
      </c>
      <c r="C1141" s="8">
        <f>E1141+H1141+K1141</f>
        <v>608</v>
      </c>
      <c r="D1141" s="5">
        <v>300</v>
      </c>
      <c r="E1141" s="8">
        <f>Z15*AA15+100*FORECAST(100,AA$13:AA$14,Z$13:Z$14)</f>
        <v>608</v>
      </c>
      <c r="F1141" s="5" t="s">
        <v>433</v>
      </c>
      <c r="G1141" s="5"/>
      <c r="H1141" s="5"/>
      <c r="I1141" s="5"/>
      <c r="J1141" s="5"/>
      <c r="K1141" s="5"/>
      <c r="L1141" s="5"/>
      <c r="M1141" s="5">
        <v>300</v>
      </c>
      <c r="N1141" s="5">
        <v>3000</v>
      </c>
      <c r="O1141" s="8">
        <f>C1141/0.92</f>
        <v>660.8695652173913</v>
      </c>
      <c r="P1141" s="5">
        <v>1</v>
      </c>
      <c r="Q1141" s="5">
        <v>630</v>
      </c>
      <c r="R1141" s="8">
        <f>1.454*C1141</f>
        <v>884.0319999999999</v>
      </c>
      <c r="S1141" s="9">
        <f>E1141*1.454*0.4</f>
        <v>353.6128</v>
      </c>
      <c r="T1141" s="9">
        <f>E1141*1.454*0.2</f>
        <v>176.8064</v>
      </c>
      <c r="U1141" s="9">
        <f>E1141*1.454*0.2</f>
        <v>176.8064</v>
      </c>
      <c r="V1141" s="9">
        <f>E1141*1.454*0.2</f>
        <v>176.8064</v>
      </c>
      <c r="W1141" s="9">
        <f>H1141*1.454</f>
        <v>0</v>
      </c>
      <c r="X1141" s="9">
        <f>K1141*1.454</f>
        <v>0</v>
      </c>
      <c r="Y1141" s="4">
        <f t="shared" si="172"/>
        <v>353.6128</v>
      </c>
    </row>
    <row r="1142" spans="1:25" ht="12.75" customHeight="1" outlineLevel="2">
      <c r="A1142" s="170">
        <v>1</v>
      </c>
      <c r="B1142" s="162" t="s">
        <v>308</v>
      </c>
      <c r="C1142" s="162"/>
      <c r="D1142" s="162"/>
      <c r="E1142" s="162"/>
      <c r="F1142" s="162"/>
      <c r="G1142" s="162"/>
      <c r="H1142" s="162"/>
      <c r="I1142" s="162"/>
      <c r="J1142" s="162"/>
      <c r="K1142" s="162"/>
      <c r="L1142" s="162"/>
      <c r="M1142" s="162"/>
      <c r="N1142" s="162"/>
      <c r="O1142" s="162"/>
      <c r="P1142" s="162"/>
      <c r="Q1142" s="162"/>
      <c r="R1142" s="162"/>
      <c r="S1142" s="162"/>
      <c r="T1142" s="162"/>
      <c r="U1142" s="162"/>
      <c r="V1142" s="162"/>
      <c r="W1142" s="162"/>
      <c r="X1142" s="162"/>
      <c r="Y1142" s="4">
        <f t="shared" si="172"/>
        <v>0</v>
      </c>
    </row>
    <row r="1143" spans="1:25" ht="18" outlineLevel="2">
      <c r="A1143" s="170"/>
      <c r="B1143" s="5">
        <f>D1143+G1143+J1143</f>
        <v>45</v>
      </c>
      <c r="C1143" s="8">
        <f>E1143+H1143+K1143</f>
        <v>116.55</v>
      </c>
      <c r="D1143" s="5">
        <v>45</v>
      </c>
      <c r="E1143" s="8">
        <f>D1143*FORECAST(D1143,AA$12:AA$13,Z$12:Z$13)</f>
        <v>116.55</v>
      </c>
      <c r="F1143" s="5" t="s">
        <v>433</v>
      </c>
      <c r="G1143" s="5"/>
      <c r="H1143" s="5"/>
      <c r="I1143" s="5"/>
      <c r="J1143" s="5"/>
      <c r="K1143" s="5"/>
      <c r="L1143" s="5"/>
      <c r="M1143" s="5"/>
      <c r="N1143" s="5">
        <v>500</v>
      </c>
      <c r="O1143" s="8">
        <f>C1143/0.92</f>
        <v>126.68478260869564</v>
      </c>
      <c r="P1143" s="5"/>
      <c r="Q1143" s="5"/>
      <c r="R1143" s="8">
        <f>1.454*C1143</f>
        <v>169.4637</v>
      </c>
      <c r="S1143" s="9">
        <f>E1143*1.454*0.4</f>
        <v>67.78547999999999</v>
      </c>
      <c r="T1143" s="9">
        <f>E1143*1.454*0.2</f>
        <v>33.892739999999996</v>
      </c>
      <c r="U1143" s="9">
        <f>E1143*1.454*0.2</f>
        <v>33.892739999999996</v>
      </c>
      <c r="V1143" s="9">
        <f>E1143*1.454*0.2</f>
        <v>33.892739999999996</v>
      </c>
      <c r="W1143" s="9">
        <f>H1143*1.454</f>
        <v>0</v>
      </c>
      <c r="X1143" s="9">
        <f>K1143*1.454</f>
        <v>0</v>
      </c>
      <c r="Y1143" s="4">
        <f t="shared" si="172"/>
        <v>67.78547999999999</v>
      </c>
    </row>
    <row r="1144" spans="1:25" ht="36" outlineLevel="1">
      <c r="A1144" s="6" t="s">
        <v>456</v>
      </c>
      <c r="B1144" s="7">
        <f>B1141+B1143</f>
        <v>345</v>
      </c>
      <c r="C1144" s="10">
        <f>C1141+C1143</f>
        <v>724.55</v>
      </c>
      <c r="D1144" s="7">
        <f>D1141+D1143</f>
        <v>345</v>
      </c>
      <c r="E1144" s="10">
        <f>E1141+E1143</f>
        <v>724.55</v>
      </c>
      <c r="F1144" s="7" t="s">
        <v>433</v>
      </c>
      <c r="G1144" s="7">
        <f>G1141+G1143</f>
        <v>0</v>
      </c>
      <c r="H1144" s="7">
        <f>H1141+H1143</f>
        <v>0</v>
      </c>
      <c r="I1144" s="7" t="s">
        <v>441</v>
      </c>
      <c r="J1144" s="7">
        <f>J1141+J1143</f>
        <v>0</v>
      </c>
      <c r="K1144" s="7">
        <f>K1141+K1143</f>
        <v>0</v>
      </c>
      <c r="L1144" s="7" t="s">
        <v>441</v>
      </c>
      <c r="M1144" s="7">
        <f aca="true" t="shared" si="177" ref="M1144:X1144">M1141+M1143</f>
        <v>300</v>
      </c>
      <c r="N1144" s="7">
        <f t="shared" si="177"/>
        <v>3500</v>
      </c>
      <c r="O1144" s="10">
        <f t="shared" si="177"/>
        <v>787.5543478260869</v>
      </c>
      <c r="P1144" s="7">
        <f t="shared" si="177"/>
        <v>1</v>
      </c>
      <c r="Q1144" s="7">
        <f t="shared" si="177"/>
        <v>630</v>
      </c>
      <c r="R1144" s="10">
        <f t="shared" si="177"/>
        <v>1053.4957</v>
      </c>
      <c r="S1144" s="10">
        <f t="shared" si="177"/>
        <v>421.39828</v>
      </c>
      <c r="T1144" s="10">
        <f t="shared" si="177"/>
        <v>210.69914</v>
      </c>
      <c r="U1144" s="10">
        <f t="shared" si="177"/>
        <v>210.69914</v>
      </c>
      <c r="V1144" s="10">
        <f t="shared" si="177"/>
        <v>210.69914</v>
      </c>
      <c r="W1144" s="10">
        <f t="shared" si="177"/>
        <v>0</v>
      </c>
      <c r="X1144" s="10">
        <f t="shared" si="177"/>
        <v>0</v>
      </c>
      <c r="Y1144" s="4">
        <f t="shared" si="172"/>
        <v>421.39828</v>
      </c>
    </row>
    <row r="1145" spans="1:25" ht="12.75" customHeight="1" outlineLevel="1">
      <c r="A1145" s="161" t="s">
        <v>440</v>
      </c>
      <c r="B1145" s="161"/>
      <c r="C1145" s="161"/>
      <c r="D1145" s="161"/>
      <c r="E1145" s="161"/>
      <c r="F1145" s="161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4">
        <f t="shared" si="172"/>
        <v>0</v>
      </c>
    </row>
    <row r="1146" spans="1:25" ht="13.5" customHeight="1" outlineLevel="1">
      <c r="A1146" s="164" t="s">
        <v>450</v>
      </c>
      <c r="B1146" s="162" t="s">
        <v>309</v>
      </c>
      <c r="C1146" s="162"/>
      <c r="D1146" s="162"/>
      <c r="E1146" s="162"/>
      <c r="F1146" s="162"/>
      <c r="G1146" s="162"/>
      <c r="H1146" s="162"/>
      <c r="I1146" s="162"/>
      <c r="J1146" s="162"/>
      <c r="K1146" s="162"/>
      <c r="L1146" s="162"/>
      <c r="M1146" s="162"/>
      <c r="N1146" s="162"/>
      <c r="O1146" s="162"/>
      <c r="P1146" s="162"/>
      <c r="Q1146" s="162"/>
      <c r="R1146" s="162"/>
      <c r="S1146" s="162"/>
      <c r="T1146" s="162"/>
      <c r="U1146" s="162"/>
      <c r="V1146" s="162"/>
      <c r="W1146" s="162"/>
      <c r="X1146" s="30"/>
      <c r="Y1146" s="4">
        <f t="shared" si="172"/>
        <v>0</v>
      </c>
    </row>
    <row r="1147" spans="1:25" ht="18" outlineLevel="1">
      <c r="A1147" s="164"/>
      <c r="B1147" s="7">
        <f>D1147+G1147+J1147</f>
        <v>50</v>
      </c>
      <c r="C1147" s="10">
        <f>E1147+H1147+K1147</f>
        <v>126</v>
      </c>
      <c r="D1147" s="7">
        <v>50</v>
      </c>
      <c r="E1147" s="8">
        <f>D1147*FORECAST(D1147,AA$12:AA$13,Z$12:Z$13)</f>
        <v>126</v>
      </c>
      <c r="F1147" s="7" t="s">
        <v>433</v>
      </c>
      <c r="G1147" s="7"/>
      <c r="H1147" s="7"/>
      <c r="I1147" s="7"/>
      <c r="J1147" s="7"/>
      <c r="K1147" s="7"/>
      <c r="L1147" s="7"/>
      <c r="M1147" s="7">
        <v>1000</v>
      </c>
      <c r="N1147" s="7">
        <v>600</v>
      </c>
      <c r="O1147" s="8">
        <f>C1147/0.92</f>
        <v>136.95652173913044</v>
      </c>
      <c r="P1147" s="7">
        <v>1</v>
      </c>
      <c r="Q1147" s="7">
        <v>160</v>
      </c>
      <c r="R1147" s="8">
        <f>1.454*C1147</f>
        <v>183.204</v>
      </c>
      <c r="S1147" s="9">
        <f>E1147*1.454*0.4</f>
        <v>73.28160000000001</v>
      </c>
      <c r="T1147" s="9">
        <f>E1147*1.454*0.2</f>
        <v>36.640800000000006</v>
      </c>
      <c r="U1147" s="9">
        <f>E1147*1.454*0.2</f>
        <v>36.640800000000006</v>
      </c>
      <c r="V1147" s="9">
        <f>E1147*1.454*0.2</f>
        <v>36.640800000000006</v>
      </c>
      <c r="W1147" s="9">
        <f>H1147*1.454</f>
        <v>0</v>
      </c>
      <c r="X1147" s="9">
        <f>K1147*1.454</f>
        <v>0</v>
      </c>
      <c r="Y1147" s="4">
        <f t="shared" si="172"/>
        <v>73.28160000000001</v>
      </c>
    </row>
    <row r="1148" spans="1:25" ht="108">
      <c r="A1148" s="6" t="s">
        <v>733</v>
      </c>
      <c r="B1148" s="7">
        <f>B1132+B1138+B1144+B1147</f>
        <v>4231</v>
      </c>
      <c r="C1148" s="10">
        <f aca="true" t="shared" si="178" ref="C1148:X1148">C1132+C1138+C1144+C1147</f>
        <v>11793.754208333332</v>
      </c>
      <c r="D1148" s="7">
        <f t="shared" si="178"/>
        <v>4229</v>
      </c>
      <c r="E1148" s="10">
        <f t="shared" si="178"/>
        <v>11778.754208333332</v>
      </c>
      <c r="F1148" s="7" t="s">
        <v>433</v>
      </c>
      <c r="G1148" s="7">
        <f t="shared" si="178"/>
        <v>0</v>
      </c>
      <c r="H1148" s="7">
        <f t="shared" si="178"/>
        <v>0</v>
      </c>
      <c r="I1148" s="7" t="s">
        <v>698</v>
      </c>
      <c r="J1148" s="7">
        <f t="shared" si="178"/>
        <v>2</v>
      </c>
      <c r="K1148" s="7">
        <f t="shared" si="178"/>
        <v>15</v>
      </c>
      <c r="L1148" s="7" t="s">
        <v>698</v>
      </c>
      <c r="M1148" s="7">
        <f t="shared" si="178"/>
        <v>7500</v>
      </c>
      <c r="N1148" s="7">
        <f t="shared" si="178"/>
        <v>82563</v>
      </c>
      <c r="O1148" s="7">
        <f t="shared" si="178"/>
        <v>12689.08066123188</v>
      </c>
      <c r="P1148" s="7">
        <f t="shared" si="178"/>
        <v>46</v>
      </c>
      <c r="Q1148" s="7">
        <f t="shared" si="178"/>
        <v>11230</v>
      </c>
      <c r="R1148" s="10">
        <f t="shared" si="178"/>
        <v>16919.90061891667</v>
      </c>
      <c r="S1148" s="10">
        <f t="shared" si="178"/>
        <v>6759.236247566667</v>
      </c>
      <c r="T1148" s="10">
        <f t="shared" si="178"/>
        <v>3379.6181237833334</v>
      </c>
      <c r="U1148" s="10">
        <f t="shared" si="178"/>
        <v>3379.6181237833334</v>
      </c>
      <c r="V1148" s="10">
        <f t="shared" si="178"/>
        <v>3379.6181237833334</v>
      </c>
      <c r="W1148" s="7">
        <f t="shared" si="178"/>
        <v>0</v>
      </c>
      <c r="X1148" s="10">
        <f t="shared" si="178"/>
        <v>21.81</v>
      </c>
      <c r="Y1148" s="4">
        <f t="shared" si="172"/>
        <v>6759.236247566667</v>
      </c>
    </row>
    <row r="1149" spans="1:25" ht="18">
      <c r="A1149" s="171" t="s">
        <v>457</v>
      </c>
      <c r="B1149" s="171"/>
      <c r="C1149" s="171"/>
      <c r="D1149" s="171"/>
      <c r="E1149" s="171"/>
      <c r="F1149" s="171"/>
      <c r="G1149" s="171"/>
      <c r="H1149" s="171"/>
      <c r="I1149" s="171"/>
      <c r="J1149" s="171"/>
      <c r="K1149" s="171"/>
      <c r="L1149" s="171"/>
      <c r="M1149" s="171"/>
      <c r="N1149" s="171"/>
      <c r="O1149" s="171"/>
      <c r="P1149" s="171"/>
      <c r="Q1149" s="171"/>
      <c r="R1149" s="171"/>
      <c r="S1149" s="171"/>
      <c r="T1149" s="171"/>
      <c r="U1149" s="171"/>
      <c r="V1149" s="171"/>
      <c r="W1149" s="171"/>
      <c r="X1149" s="171"/>
      <c r="Y1149" s="4">
        <f t="shared" si="172"/>
        <v>0</v>
      </c>
    </row>
    <row r="1150" spans="1:25" ht="18.75" outlineLevel="1">
      <c r="A1150" s="13">
        <v>1</v>
      </c>
      <c r="B1150" s="13">
        <v>2</v>
      </c>
      <c r="C1150" s="13">
        <v>3</v>
      </c>
      <c r="D1150" s="13">
        <v>4</v>
      </c>
      <c r="E1150" s="13">
        <v>5</v>
      </c>
      <c r="F1150" s="13">
        <v>6</v>
      </c>
      <c r="G1150" s="13">
        <v>7</v>
      </c>
      <c r="H1150" s="13">
        <v>8</v>
      </c>
      <c r="I1150" s="13">
        <v>9</v>
      </c>
      <c r="J1150" s="13">
        <v>10</v>
      </c>
      <c r="K1150" s="13">
        <v>11</v>
      </c>
      <c r="L1150" s="13">
        <v>12</v>
      </c>
      <c r="M1150" s="13">
        <v>13</v>
      </c>
      <c r="N1150" s="13">
        <v>14</v>
      </c>
      <c r="O1150" s="13">
        <v>15</v>
      </c>
      <c r="P1150" s="13">
        <v>16</v>
      </c>
      <c r="Q1150" s="13">
        <v>17</v>
      </c>
      <c r="R1150" s="13">
        <v>18</v>
      </c>
      <c r="S1150" s="89">
        <v>19</v>
      </c>
      <c r="T1150" s="14">
        <v>20</v>
      </c>
      <c r="U1150" s="14">
        <v>21</v>
      </c>
      <c r="V1150" s="14">
        <v>22</v>
      </c>
      <c r="W1150" s="14">
        <v>23</v>
      </c>
      <c r="X1150" s="14">
        <v>24</v>
      </c>
      <c r="Y1150" s="4">
        <f t="shared" si="172"/>
        <v>42</v>
      </c>
    </row>
    <row r="1151" spans="1:25" ht="12.75" customHeight="1" outlineLevel="1">
      <c r="A1151" s="149" t="s">
        <v>473</v>
      </c>
      <c r="B1151" s="149"/>
      <c r="C1151" s="149"/>
      <c r="D1151" s="149"/>
      <c r="E1151" s="149"/>
      <c r="F1151" s="149"/>
      <c r="G1151" s="149"/>
      <c r="H1151" s="149"/>
      <c r="I1151" s="149"/>
      <c r="J1151" s="149"/>
      <c r="K1151" s="149"/>
      <c r="L1151" s="149"/>
      <c r="M1151" s="149"/>
      <c r="N1151" s="149"/>
      <c r="O1151" s="149"/>
      <c r="P1151" s="149"/>
      <c r="Q1151" s="149"/>
      <c r="R1151" s="149"/>
      <c r="S1151" s="149"/>
      <c r="T1151" s="149"/>
      <c r="U1151" s="149"/>
      <c r="V1151" s="149"/>
      <c r="W1151" s="149"/>
      <c r="X1151" s="149"/>
      <c r="Y1151" s="4">
        <f t="shared" si="172"/>
        <v>0</v>
      </c>
    </row>
    <row r="1152" spans="1:25" ht="18.75" outlineLevel="2">
      <c r="A1152" s="160">
        <v>1</v>
      </c>
      <c r="B1152" s="158" t="s">
        <v>310</v>
      </c>
      <c r="C1152" s="158"/>
      <c r="D1152" s="158"/>
      <c r="E1152" s="158"/>
      <c r="F1152" s="158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4">
        <f t="shared" si="172"/>
        <v>0</v>
      </c>
    </row>
    <row r="1153" spans="1:25" ht="18" outlineLevel="2">
      <c r="A1153" s="160"/>
      <c r="B1153" s="31">
        <f>D1153+G1153+J1153</f>
        <v>19</v>
      </c>
      <c r="C1153" s="18">
        <f>E1153+H1153+K1153</f>
        <v>72.67499999999998</v>
      </c>
      <c r="D1153" s="31">
        <v>19</v>
      </c>
      <c r="E1153" s="8">
        <f>D1153*FORECAST(D1153,AA$10:AA$11,Z$10:Z$11)</f>
        <v>72.67499999999998</v>
      </c>
      <c r="F1153" s="31" t="s">
        <v>433</v>
      </c>
      <c r="G1153" s="31"/>
      <c r="H1153" s="31"/>
      <c r="I1153" s="31"/>
      <c r="J1153" s="31"/>
      <c r="K1153" s="31"/>
      <c r="L1153" s="31"/>
      <c r="M1153" s="31"/>
      <c r="N1153" s="31">
        <v>60</v>
      </c>
      <c r="O1153" s="8">
        <f>C1153/0.92</f>
        <v>78.99456521739128</v>
      </c>
      <c r="P1153" s="31">
        <v>1</v>
      </c>
      <c r="Q1153" s="31">
        <v>100</v>
      </c>
      <c r="R1153" s="8">
        <f>1.454*C1153</f>
        <v>105.66944999999997</v>
      </c>
      <c r="S1153" s="9">
        <f>E1153*1.454*0.4</f>
        <v>42.26777999999999</v>
      </c>
      <c r="T1153" s="9">
        <f>E1153*1.454*0.2</f>
        <v>21.133889999999994</v>
      </c>
      <c r="U1153" s="9">
        <f>E1153*1.454*0.2</f>
        <v>21.133889999999994</v>
      </c>
      <c r="V1153" s="9">
        <f>E1153*1.454*0.2</f>
        <v>21.133889999999994</v>
      </c>
      <c r="W1153" s="9">
        <f>H1153*1.454</f>
        <v>0</v>
      </c>
      <c r="X1153" s="9">
        <f>K1153*1.454</f>
        <v>0</v>
      </c>
      <c r="Y1153" s="4">
        <f t="shared" si="172"/>
        <v>42.26777999999999</v>
      </c>
    </row>
    <row r="1154" spans="1:25" ht="18.75" outlineLevel="2">
      <c r="A1154" s="160">
        <v>2</v>
      </c>
      <c r="B1154" s="158" t="s">
        <v>311</v>
      </c>
      <c r="C1154" s="158"/>
      <c r="D1154" s="158"/>
      <c r="E1154" s="158"/>
      <c r="F1154" s="15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4">
        <f t="shared" si="172"/>
        <v>0</v>
      </c>
    </row>
    <row r="1155" spans="1:25" ht="18" outlineLevel="2">
      <c r="A1155" s="160"/>
      <c r="B1155" s="31">
        <f>D1155+G1155+J1155</f>
        <v>16</v>
      </c>
      <c r="C1155" s="31">
        <f>E1155+H1155+K1155</f>
        <v>67.19999999999999</v>
      </c>
      <c r="D1155" s="31">
        <v>16</v>
      </c>
      <c r="E1155" s="8">
        <f>D1155*FORECAST(D1155,AA$9:AA$10,Z$9:Z$10)</f>
        <v>67.19999999999999</v>
      </c>
      <c r="F1155" s="31" t="s">
        <v>433</v>
      </c>
      <c r="G1155" s="31"/>
      <c r="H1155" s="31"/>
      <c r="I1155" s="31"/>
      <c r="J1155" s="31"/>
      <c r="K1155" s="31"/>
      <c r="L1155" s="31"/>
      <c r="M1155" s="31"/>
      <c r="N1155" s="31">
        <v>60</v>
      </c>
      <c r="O1155" s="8">
        <f>C1155/0.92</f>
        <v>73.04347826086955</v>
      </c>
      <c r="P1155" s="31">
        <v>1</v>
      </c>
      <c r="Q1155" s="31">
        <v>100</v>
      </c>
      <c r="R1155" s="8">
        <f>1.454*C1155</f>
        <v>97.70879999999998</v>
      </c>
      <c r="S1155" s="9">
        <f>E1155*1.454*0.4</f>
        <v>39.08351999999999</v>
      </c>
      <c r="T1155" s="9">
        <f>E1155*1.454*0.2</f>
        <v>19.541759999999996</v>
      </c>
      <c r="U1155" s="9">
        <f>E1155*1.454*0.2</f>
        <v>19.541759999999996</v>
      </c>
      <c r="V1155" s="9">
        <f>E1155*1.454*0.2</f>
        <v>19.541759999999996</v>
      </c>
      <c r="W1155" s="9">
        <f>H1155*1.454</f>
        <v>0</v>
      </c>
      <c r="X1155" s="9">
        <f>K1155*1.454</f>
        <v>0</v>
      </c>
      <c r="Y1155" s="4">
        <f t="shared" si="172"/>
        <v>39.08351999999999</v>
      </c>
    </row>
    <row r="1156" spans="1:25" ht="18.75" outlineLevel="2">
      <c r="A1156" s="160">
        <v>3</v>
      </c>
      <c r="B1156" s="158" t="s">
        <v>312</v>
      </c>
      <c r="C1156" s="158"/>
      <c r="D1156" s="158"/>
      <c r="E1156" s="158"/>
      <c r="F1156" s="158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4">
        <f t="shared" si="172"/>
        <v>0</v>
      </c>
    </row>
    <row r="1157" spans="1:25" ht="18" outlineLevel="2">
      <c r="A1157" s="160"/>
      <c r="B1157" s="31">
        <f>D1157+G1157+J1157</f>
        <v>11</v>
      </c>
      <c r="C1157" s="18">
        <f>E1157+H1157+K1157</f>
        <v>57.67666666666668</v>
      </c>
      <c r="D1157" s="31">
        <v>11</v>
      </c>
      <c r="E1157" s="8">
        <f>D1157*FORECAST(D1157,AA$7:AA$8,Z$7:Z$8)</f>
        <v>57.67666666666668</v>
      </c>
      <c r="F1157" s="31" t="s">
        <v>433</v>
      </c>
      <c r="G1157" s="31"/>
      <c r="H1157" s="31"/>
      <c r="I1157" s="31"/>
      <c r="J1157" s="31"/>
      <c r="K1157" s="31"/>
      <c r="L1157" s="31"/>
      <c r="M1157" s="31"/>
      <c r="N1157" s="31">
        <v>40</v>
      </c>
      <c r="O1157" s="8">
        <f>C1157/0.92</f>
        <v>62.69202898550726</v>
      </c>
      <c r="P1157" s="31"/>
      <c r="Q1157" s="31"/>
      <c r="R1157" s="8">
        <f>1.454*C1157</f>
        <v>83.86187333333335</v>
      </c>
      <c r="S1157" s="9">
        <f>E1157*1.454*0.4</f>
        <v>33.54474933333334</v>
      </c>
      <c r="T1157" s="9">
        <f>E1157*1.454*0.2</f>
        <v>16.77237466666667</v>
      </c>
      <c r="U1157" s="9">
        <f>E1157*1.454*0.2</f>
        <v>16.77237466666667</v>
      </c>
      <c r="V1157" s="9">
        <f>E1157*1.454*0.2</f>
        <v>16.77237466666667</v>
      </c>
      <c r="W1157" s="9">
        <f>H1157*1.454</f>
        <v>0</v>
      </c>
      <c r="X1157" s="9">
        <f>K1157*1.454</f>
        <v>0</v>
      </c>
      <c r="Y1157" s="4">
        <f t="shared" si="172"/>
        <v>33.54474933333334</v>
      </c>
    </row>
    <row r="1158" spans="1:25" ht="18.75" outlineLevel="2">
      <c r="A1158" s="160">
        <v>4</v>
      </c>
      <c r="B1158" s="158" t="s">
        <v>313</v>
      </c>
      <c r="C1158" s="158"/>
      <c r="D1158" s="158"/>
      <c r="E1158" s="158"/>
      <c r="F1158" s="158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4">
        <f t="shared" si="172"/>
        <v>0</v>
      </c>
    </row>
    <row r="1159" spans="1:25" ht="18" outlineLevel="2">
      <c r="A1159" s="160"/>
      <c r="B1159" s="31">
        <f>D1159+G1159+J1159</f>
        <v>19</v>
      </c>
      <c r="C1159" s="18">
        <f>E1159+H1159+K1159</f>
        <v>72.67499999999998</v>
      </c>
      <c r="D1159" s="31">
        <v>19</v>
      </c>
      <c r="E1159" s="8">
        <f>D1159*FORECAST(D1159,AA$10:AA$11,Z$10:Z$11)</f>
        <v>72.67499999999998</v>
      </c>
      <c r="F1159" s="31" t="s">
        <v>433</v>
      </c>
      <c r="G1159" s="31"/>
      <c r="H1159" s="31"/>
      <c r="I1159" s="31"/>
      <c r="J1159" s="31"/>
      <c r="K1159" s="31"/>
      <c r="L1159" s="31"/>
      <c r="M1159" s="31"/>
      <c r="N1159" s="31">
        <v>60</v>
      </c>
      <c r="O1159" s="8">
        <f>C1159/0.92</f>
        <v>78.99456521739128</v>
      </c>
      <c r="P1159" s="31">
        <v>1</v>
      </c>
      <c r="Q1159" s="31">
        <v>100</v>
      </c>
      <c r="R1159" s="8">
        <f>1.454*C1159</f>
        <v>105.66944999999997</v>
      </c>
      <c r="S1159" s="9">
        <f>E1159*1.454*0.4</f>
        <v>42.26777999999999</v>
      </c>
      <c r="T1159" s="9">
        <f>E1159*1.454*0.2</f>
        <v>21.133889999999994</v>
      </c>
      <c r="U1159" s="9">
        <f>E1159*1.454*0.2</f>
        <v>21.133889999999994</v>
      </c>
      <c r="V1159" s="9">
        <f>E1159*1.454*0.2</f>
        <v>21.133889999999994</v>
      </c>
      <c r="W1159" s="9">
        <f>H1159*1.454</f>
        <v>0</v>
      </c>
      <c r="X1159" s="9">
        <f>K1159*1.454</f>
        <v>0</v>
      </c>
      <c r="Y1159" s="4">
        <f t="shared" si="172"/>
        <v>42.26777999999999</v>
      </c>
    </row>
    <row r="1160" spans="1:25" ht="18.75" outlineLevel="2">
      <c r="A1160" s="160">
        <v>5</v>
      </c>
      <c r="B1160" s="158" t="s">
        <v>314</v>
      </c>
      <c r="C1160" s="158"/>
      <c r="D1160" s="158"/>
      <c r="E1160" s="158"/>
      <c r="F1160" s="158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4">
        <f t="shared" si="172"/>
        <v>0</v>
      </c>
    </row>
    <row r="1161" spans="1:25" ht="18" outlineLevel="2">
      <c r="A1161" s="160"/>
      <c r="B1161" s="31">
        <f>D1161+G1161+J1161</f>
        <v>15</v>
      </c>
      <c r="C1161" s="31">
        <f>E1161+H1161+K1161</f>
        <v>65.1</v>
      </c>
      <c r="D1161" s="31">
        <v>15</v>
      </c>
      <c r="E1161" s="8">
        <f>D1161*FORECAST(D1161,AA$9:AA$10,Z$9:Z$10)</f>
        <v>65.1</v>
      </c>
      <c r="F1161" s="31" t="s">
        <v>433</v>
      </c>
      <c r="G1161" s="31"/>
      <c r="H1161" s="31"/>
      <c r="I1161" s="31"/>
      <c r="J1161" s="31"/>
      <c r="K1161" s="31"/>
      <c r="L1161" s="31"/>
      <c r="M1161" s="31"/>
      <c r="N1161" s="31">
        <v>450</v>
      </c>
      <c r="O1161" s="8">
        <f>C1161/0.92</f>
        <v>70.76086956521738</v>
      </c>
      <c r="P1161" s="31"/>
      <c r="Q1161" s="31"/>
      <c r="R1161" s="8">
        <f>1.454*C1161</f>
        <v>94.65539999999999</v>
      </c>
      <c r="S1161" s="9">
        <f>E1161*1.454*0.4</f>
        <v>37.862159999999996</v>
      </c>
      <c r="T1161" s="9">
        <f>E1161*1.454*0.2</f>
        <v>18.931079999999998</v>
      </c>
      <c r="U1161" s="9">
        <f>E1161*1.454*0.2</f>
        <v>18.931079999999998</v>
      </c>
      <c r="V1161" s="9">
        <f>E1161*1.454*0.2</f>
        <v>18.931079999999998</v>
      </c>
      <c r="W1161" s="9">
        <f>H1161*1.454</f>
        <v>0</v>
      </c>
      <c r="X1161" s="9">
        <f>K1161*1.454</f>
        <v>0</v>
      </c>
      <c r="Y1161" s="4">
        <f t="shared" si="172"/>
        <v>37.862159999999996</v>
      </c>
    </row>
    <row r="1162" spans="1:25" ht="18.75" outlineLevel="2">
      <c r="A1162" s="160">
        <v>6</v>
      </c>
      <c r="B1162" s="158" t="s">
        <v>315</v>
      </c>
      <c r="C1162" s="158"/>
      <c r="D1162" s="158"/>
      <c r="E1162" s="158"/>
      <c r="F1162" s="158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4">
        <f t="shared" si="172"/>
        <v>0</v>
      </c>
    </row>
    <row r="1163" spans="1:25" ht="18" outlineLevel="2">
      <c r="A1163" s="160"/>
      <c r="B1163" s="31">
        <f>D1163+G1163+J1163</f>
        <v>14</v>
      </c>
      <c r="C1163" s="18">
        <f>E1163+H1163+K1163</f>
        <v>63.65333333333335</v>
      </c>
      <c r="D1163" s="31">
        <v>14</v>
      </c>
      <c r="E1163" s="8">
        <f>D1163*FORECAST(D1163,AA$8:AA$9,Z$8:Z$9)</f>
        <v>63.65333333333335</v>
      </c>
      <c r="F1163" s="31" t="s">
        <v>433</v>
      </c>
      <c r="G1163" s="31"/>
      <c r="H1163" s="31"/>
      <c r="I1163" s="31"/>
      <c r="J1163" s="31"/>
      <c r="K1163" s="31"/>
      <c r="L1163" s="31"/>
      <c r="M1163" s="31"/>
      <c r="N1163" s="31">
        <v>420</v>
      </c>
      <c r="O1163" s="8">
        <f>C1163/0.92</f>
        <v>69.18840579710147</v>
      </c>
      <c r="P1163" s="31">
        <v>1</v>
      </c>
      <c r="Q1163" s="31">
        <v>100</v>
      </c>
      <c r="R1163" s="8">
        <f>1.454*C1163</f>
        <v>92.5519466666667</v>
      </c>
      <c r="S1163" s="9">
        <f>E1163*1.454*0.4</f>
        <v>37.02077866666668</v>
      </c>
      <c r="T1163" s="9">
        <f>E1163*1.454*0.2</f>
        <v>18.51038933333334</v>
      </c>
      <c r="U1163" s="9">
        <f>E1163*1.454*0.2</f>
        <v>18.51038933333334</v>
      </c>
      <c r="V1163" s="9">
        <f>E1163*1.454*0.2</f>
        <v>18.51038933333334</v>
      </c>
      <c r="W1163" s="9">
        <f>H1163*1.454</f>
        <v>0</v>
      </c>
      <c r="X1163" s="9">
        <f>K1163*1.454</f>
        <v>0</v>
      </c>
      <c r="Y1163" s="4">
        <f t="shared" si="172"/>
        <v>37.02077866666668</v>
      </c>
    </row>
    <row r="1164" spans="1:25" ht="18.75" outlineLevel="2">
      <c r="A1164" s="160">
        <v>7</v>
      </c>
      <c r="B1164" s="158" t="s">
        <v>637</v>
      </c>
      <c r="C1164" s="158"/>
      <c r="D1164" s="158"/>
      <c r="E1164" s="158"/>
      <c r="F1164" s="158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4">
        <f t="shared" si="172"/>
        <v>0</v>
      </c>
    </row>
    <row r="1165" spans="1:25" ht="18" outlineLevel="2">
      <c r="A1165" s="160"/>
      <c r="B1165" s="31">
        <f>D1165+G1165+J1165</f>
        <v>26</v>
      </c>
      <c r="C1165" s="18">
        <f>E1165+H1165+K1165</f>
        <v>84.8575</v>
      </c>
      <c r="D1165" s="31">
        <v>26</v>
      </c>
      <c r="E1165" s="8">
        <f>D1165*FORECAST(D1165,AA$11:AA$12,Z$11:Z$12)</f>
        <v>84.8575</v>
      </c>
      <c r="F1165" s="31" t="s">
        <v>433</v>
      </c>
      <c r="G1165" s="31"/>
      <c r="H1165" s="31"/>
      <c r="I1165" s="31"/>
      <c r="J1165" s="31"/>
      <c r="K1165" s="31"/>
      <c r="L1165" s="31"/>
      <c r="M1165" s="31"/>
      <c r="N1165" s="31">
        <v>780</v>
      </c>
      <c r="O1165" s="8">
        <f>C1165/0.92</f>
        <v>92.23641304347827</v>
      </c>
      <c r="P1165" s="31"/>
      <c r="Q1165" s="31"/>
      <c r="R1165" s="8">
        <f>1.454*C1165</f>
        <v>123.382805</v>
      </c>
      <c r="S1165" s="9">
        <f>E1165*1.454*0.4</f>
        <v>49.353122000000006</v>
      </c>
      <c r="T1165" s="9">
        <f>E1165*1.454*0.2</f>
        <v>24.676561000000003</v>
      </c>
      <c r="U1165" s="9">
        <f>E1165*1.454*0.2</f>
        <v>24.676561000000003</v>
      </c>
      <c r="V1165" s="9">
        <f>E1165*1.454*0.2</f>
        <v>24.676561000000003</v>
      </c>
      <c r="W1165" s="9">
        <f>H1165*1.454</f>
        <v>0</v>
      </c>
      <c r="X1165" s="9">
        <f>K1165*1.454</f>
        <v>0</v>
      </c>
      <c r="Y1165" s="4">
        <f t="shared" si="172"/>
        <v>49.353122000000006</v>
      </c>
    </row>
    <row r="1166" spans="1:25" ht="18.75" outlineLevel="2">
      <c r="A1166" s="160">
        <v>8</v>
      </c>
      <c r="B1166" s="158" t="s">
        <v>316</v>
      </c>
      <c r="C1166" s="158"/>
      <c r="D1166" s="158"/>
      <c r="E1166" s="158"/>
      <c r="F1166" s="158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4">
        <f t="shared" si="172"/>
        <v>0</v>
      </c>
    </row>
    <row r="1167" spans="1:25" ht="18" outlineLevel="2">
      <c r="A1167" s="160"/>
      <c r="B1167" s="31">
        <f>D1167+G1167+J1167</f>
        <v>8</v>
      </c>
      <c r="C1167" s="18">
        <f>E1167+H1167+K1167</f>
        <v>49.81333333333332</v>
      </c>
      <c r="D1167" s="31">
        <v>8</v>
      </c>
      <c r="E1167" s="8">
        <f>D1167*FORECAST(D1167,AA$6:AA$7,Z$6:Z$7)</f>
        <v>49.81333333333332</v>
      </c>
      <c r="F1167" s="31" t="s">
        <v>433</v>
      </c>
      <c r="G1167" s="31"/>
      <c r="H1167" s="31"/>
      <c r="I1167" s="31"/>
      <c r="J1167" s="31"/>
      <c r="K1167" s="31"/>
      <c r="L1167" s="31"/>
      <c r="M1167" s="31"/>
      <c r="N1167" s="31">
        <v>240</v>
      </c>
      <c r="O1167" s="8">
        <f>C1167/0.92</f>
        <v>54.14492753623187</v>
      </c>
      <c r="P1167" s="31"/>
      <c r="Q1167" s="31"/>
      <c r="R1167" s="8">
        <f>1.454*C1167</f>
        <v>72.42858666666665</v>
      </c>
      <c r="S1167" s="9">
        <f>E1167*1.454*0.4</f>
        <v>28.97143466666666</v>
      </c>
      <c r="T1167" s="9">
        <f>E1167*1.454*0.2</f>
        <v>14.48571733333333</v>
      </c>
      <c r="U1167" s="9">
        <f>E1167*1.454*0.2</f>
        <v>14.48571733333333</v>
      </c>
      <c r="V1167" s="9">
        <f>E1167*1.454*0.2</f>
        <v>14.48571733333333</v>
      </c>
      <c r="W1167" s="9">
        <f>H1167*1.454</f>
        <v>0</v>
      </c>
      <c r="X1167" s="9">
        <f>K1167*1.454</f>
        <v>0</v>
      </c>
      <c r="Y1167" s="4">
        <f t="shared" si="172"/>
        <v>28.97143466666666</v>
      </c>
    </row>
    <row r="1168" spans="1:25" ht="35.25" customHeight="1" outlineLevel="2">
      <c r="A1168" s="6" t="s">
        <v>431</v>
      </c>
      <c r="B1168" s="32">
        <f>B1153+B1155+B1157+B1159+B1161+B1163+B1165+B1167</f>
        <v>128</v>
      </c>
      <c r="C1168" s="33">
        <f>C1153+C1155+C1157+C1159+C1161+C1163+C1165+C1167</f>
        <v>533.6508333333333</v>
      </c>
      <c r="D1168" s="32">
        <f>D1153+D1155+D1157+D1159+D1161+D1163+D1165+D1167</f>
        <v>128</v>
      </c>
      <c r="E1168" s="33">
        <f>E1153+E1155+E1157+E1159+E1161+E1163+E1165+E1167</f>
        <v>533.6508333333333</v>
      </c>
      <c r="F1168" s="32" t="s">
        <v>433</v>
      </c>
      <c r="G1168" s="32">
        <f>G1153+G1155+G1157+G1159+G1161+G1163+G1165+G1167</f>
        <v>0</v>
      </c>
      <c r="H1168" s="32">
        <f>H1153+H1155+H1157+H1159+H1161+H1163+H1165+H1167</f>
        <v>0</v>
      </c>
      <c r="I1168" s="32" t="s">
        <v>441</v>
      </c>
      <c r="J1168" s="32">
        <f>J1153+J1155+J1157+J1159+J1161+J1163+J1165+J1167</f>
        <v>0</v>
      </c>
      <c r="K1168" s="32">
        <f>K1153+K1155+K1157+K1159+K1161+K1163+K1165+K1167</f>
        <v>0</v>
      </c>
      <c r="L1168" s="32" t="s">
        <v>441</v>
      </c>
      <c r="M1168" s="32">
        <f aca="true" t="shared" si="179" ref="M1168:X1168">M1153+M1155+M1157+M1159+M1161+M1163+M1165+M1167</f>
        <v>0</v>
      </c>
      <c r="N1168" s="32">
        <f t="shared" si="179"/>
        <v>2110</v>
      </c>
      <c r="O1168" s="33">
        <f t="shared" si="179"/>
        <v>580.0552536231884</v>
      </c>
      <c r="P1168" s="32">
        <f t="shared" si="179"/>
        <v>4</v>
      </c>
      <c r="Q1168" s="32">
        <f t="shared" si="179"/>
        <v>400</v>
      </c>
      <c r="R1168" s="33">
        <f t="shared" si="179"/>
        <v>775.9283116666666</v>
      </c>
      <c r="S1168" s="33">
        <f t="shared" si="179"/>
        <v>310.3713246666666</v>
      </c>
      <c r="T1168" s="33">
        <f t="shared" si="179"/>
        <v>155.1856623333333</v>
      </c>
      <c r="U1168" s="33">
        <f t="shared" si="179"/>
        <v>155.1856623333333</v>
      </c>
      <c r="V1168" s="33">
        <f t="shared" si="179"/>
        <v>155.1856623333333</v>
      </c>
      <c r="W1168" s="33">
        <f t="shared" si="179"/>
        <v>0</v>
      </c>
      <c r="X1168" s="33">
        <f t="shared" si="179"/>
        <v>0</v>
      </c>
      <c r="Y1168" s="4">
        <f t="shared" si="172"/>
        <v>310.3713246666666</v>
      </c>
    </row>
    <row r="1169" spans="1:25" ht="18.75" outlineLevel="2">
      <c r="A1169" s="160">
        <v>1</v>
      </c>
      <c r="B1169" s="158" t="s">
        <v>317</v>
      </c>
      <c r="C1169" s="158"/>
      <c r="D1169" s="158"/>
      <c r="E1169" s="158"/>
      <c r="F1169" s="158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4">
        <f t="shared" si="172"/>
        <v>0</v>
      </c>
    </row>
    <row r="1170" spans="1:25" ht="18" outlineLevel="2">
      <c r="A1170" s="160"/>
      <c r="B1170" s="31">
        <f>D1170+G1170+J1170</f>
        <v>29</v>
      </c>
      <c r="C1170" s="31">
        <f>E1170+H1170+K1170</f>
        <v>92.97</v>
      </c>
      <c r="D1170" s="31">
        <v>28</v>
      </c>
      <c r="E1170" s="8">
        <f>D1170*FORECAST(D1170,AA$11:AA$12,Z$11:Z$12)</f>
        <v>88.97</v>
      </c>
      <c r="F1170" s="31" t="s">
        <v>433</v>
      </c>
      <c r="G1170" s="31"/>
      <c r="H1170" s="31"/>
      <c r="I1170" s="31"/>
      <c r="J1170" s="31">
        <v>1</v>
      </c>
      <c r="K1170" s="31">
        <v>4</v>
      </c>
      <c r="L1170" s="31" t="s">
        <v>433</v>
      </c>
      <c r="M1170" s="31"/>
      <c r="N1170" s="31">
        <v>870</v>
      </c>
      <c r="O1170" s="8">
        <f>C1170/0.92</f>
        <v>101.05434782608695</v>
      </c>
      <c r="P1170" s="31">
        <v>2</v>
      </c>
      <c r="Q1170" s="31">
        <v>200</v>
      </c>
      <c r="R1170" s="8">
        <f>1.454*C1170</f>
        <v>135.17838</v>
      </c>
      <c r="S1170" s="9">
        <f>E1170*1.454*0.4</f>
        <v>51.744952000000005</v>
      </c>
      <c r="T1170" s="9">
        <f>E1170*1.454*0.2</f>
        <v>25.872476000000002</v>
      </c>
      <c r="U1170" s="9">
        <f>E1170*1.454*0.2</f>
        <v>25.872476000000002</v>
      </c>
      <c r="V1170" s="9">
        <f>E1170*1.454*0.2</f>
        <v>25.872476000000002</v>
      </c>
      <c r="W1170" s="9">
        <f>H1170*1.454</f>
        <v>0</v>
      </c>
      <c r="X1170" s="9">
        <f>K1170*1.454</f>
        <v>5.816</v>
      </c>
      <c r="Y1170" s="4">
        <f t="shared" si="172"/>
        <v>51.744952000000005</v>
      </c>
    </row>
    <row r="1171" spans="1:25" ht="18.75" outlineLevel="2">
      <c r="A1171" s="160">
        <v>1</v>
      </c>
      <c r="B1171" s="158" t="s">
        <v>318</v>
      </c>
      <c r="C1171" s="158"/>
      <c r="D1171" s="158"/>
      <c r="E1171" s="158"/>
      <c r="F1171" s="158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4">
        <f t="shared" si="172"/>
        <v>0</v>
      </c>
    </row>
    <row r="1172" spans="1:25" ht="18" outlineLevel="2">
      <c r="A1172" s="160"/>
      <c r="B1172" s="31">
        <f>D1172+G1172+J1172</f>
        <v>20</v>
      </c>
      <c r="C1172" s="31">
        <f>E1172+H1172+K1172</f>
        <v>74.6</v>
      </c>
      <c r="D1172" s="31">
        <v>20</v>
      </c>
      <c r="E1172" s="8">
        <f>D1172*FORECAST(D1172,AA$10:AA$11,Z$10:Z$11)</f>
        <v>74.6</v>
      </c>
      <c r="F1172" s="31" t="s">
        <v>433</v>
      </c>
      <c r="G1172" s="31"/>
      <c r="H1172" s="31"/>
      <c r="I1172" s="31"/>
      <c r="J1172" s="31"/>
      <c r="K1172" s="31"/>
      <c r="L1172" s="31"/>
      <c r="M1172" s="31"/>
      <c r="N1172" s="31">
        <v>600</v>
      </c>
      <c r="O1172" s="8">
        <f>C1172/0.92</f>
        <v>81.08695652173913</v>
      </c>
      <c r="P1172" s="31">
        <v>2</v>
      </c>
      <c r="Q1172" s="31">
        <v>150</v>
      </c>
      <c r="R1172" s="8">
        <f>1.454*C1172</f>
        <v>108.46839999999999</v>
      </c>
      <c r="S1172" s="9">
        <f>E1172*1.454*0.4</f>
        <v>43.38736</v>
      </c>
      <c r="T1172" s="9">
        <f>E1172*1.454*0.2</f>
        <v>21.69368</v>
      </c>
      <c r="U1172" s="9">
        <f>E1172*1.454*0.2</f>
        <v>21.69368</v>
      </c>
      <c r="V1172" s="9">
        <f>E1172*1.454*0.2</f>
        <v>21.69368</v>
      </c>
      <c r="W1172" s="9">
        <f>H1172*1.454</f>
        <v>0</v>
      </c>
      <c r="X1172" s="9">
        <f>K1172*1.454</f>
        <v>0</v>
      </c>
      <c r="Y1172" s="4">
        <f t="shared" si="172"/>
        <v>43.38736</v>
      </c>
    </row>
    <row r="1173" spans="1:25" ht="18.75" outlineLevel="2">
      <c r="A1173" s="160">
        <v>1</v>
      </c>
      <c r="B1173" s="158" t="s">
        <v>319</v>
      </c>
      <c r="C1173" s="158"/>
      <c r="D1173" s="158"/>
      <c r="E1173" s="158"/>
      <c r="F1173" s="158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4">
        <f t="shared" si="172"/>
        <v>0</v>
      </c>
    </row>
    <row r="1174" spans="1:25" ht="18" outlineLevel="2">
      <c r="A1174" s="160"/>
      <c r="B1174" s="31">
        <f>D1174+G1174+J1174</f>
        <v>40</v>
      </c>
      <c r="C1174" s="31">
        <f>E1174+H1174+K1174</f>
        <v>106.4</v>
      </c>
      <c r="D1174" s="31">
        <v>40</v>
      </c>
      <c r="E1174" s="8">
        <f>D1174*FORECAST(D1174,AA$12:AA$13,Z$12:Z$13)</f>
        <v>106.4</v>
      </c>
      <c r="F1174" s="31" t="s">
        <v>433</v>
      </c>
      <c r="G1174" s="31"/>
      <c r="H1174" s="31"/>
      <c r="I1174" s="31"/>
      <c r="J1174" s="31"/>
      <c r="K1174" s="31"/>
      <c r="L1174" s="31"/>
      <c r="M1174" s="31"/>
      <c r="N1174" s="31">
        <v>650</v>
      </c>
      <c r="O1174" s="8">
        <f>C1174/0.92</f>
        <v>115.65217391304348</v>
      </c>
      <c r="P1174" s="31">
        <v>2</v>
      </c>
      <c r="Q1174" s="31">
        <v>100</v>
      </c>
      <c r="R1174" s="8">
        <f>1.454*C1174</f>
        <v>154.7056</v>
      </c>
      <c r="S1174" s="9">
        <f>E1174*1.454*0.4</f>
        <v>61.88224</v>
      </c>
      <c r="T1174" s="9">
        <f>E1174*1.454*0.2</f>
        <v>30.94112</v>
      </c>
      <c r="U1174" s="9">
        <f>E1174*1.454*0.2</f>
        <v>30.94112</v>
      </c>
      <c r="V1174" s="9">
        <f>E1174*1.454*0.2</f>
        <v>30.94112</v>
      </c>
      <c r="W1174" s="9">
        <f>H1174*1.454</f>
        <v>0</v>
      </c>
      <c r="X1174" s="9">
        <f>K1174*1.454</f>
        <v>0</v>
      </c>
      <c r="Y1174" s="4">
        <f t="shared" si="172"/>
        <v>61.88224</v>
      </c>
    </row>
    <row r="1175" spans="1:25" ht="18.75" outlineLevel="2">
      <c r="A1175" s="160">
        <v>2</v>
      </c>
      <c r="B1175" s="158" t="s">
        <v>320</v>
      </c>
      <c r="C1175" s="158"/>
      <c r="D1175" s="158"/>
      <c r="E1175" s="158"/>
      <c r="F1175" s="158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4">
        <f t="shared" si="172"/>
        <v>0</v>
      </c>
    </row>
    <row r="1176" spans="1:25" ht="18" outlineLevel="2">
      <c r="A1176" s="160"/>
      <c r="B1176" s="31">
        <f>D1176+G1176+J1176</f>
        <v>30</v>
      </c>
      <c r="C1176" s="18">
        <f>E1176+H1176+K1176</f>
        <v>92.73749999999998</v>
      </c>
      <c r="D1176" s="31">
        <v>30</v>
      </c>
      <c r="E1176" s="8">
        <f>D1176*FORECAST(D1176,AA$11:AA$12,Z$11:Z$12)</f>
        <v>92.73749999999998</v>
      </c>
      <c r="F1176" s="31" t="s">
        <v>433</v>
      </c>
      <c r="G1176" s="31"/>
      <c r="H1176" s="31"/>
      <c r="I1176" s="31"/>
      <c r="J1176" s="31"/>
      <c r="K1176" s="31"/>
      <c r="L1176" s="31"/>
      <c r="M1176" s="31"/>
      <c r="N1176" s="31">
        <v>800</v>
      </c>
      <c r="O1176" s="8">
        <f>C1176/0.92</f>
        <v>100.80163043478258</v>
      </c>
      <c r="P1176" s="31">
        <v>2</v>
      </c>
      <c r="Q1176" s="31">
        <v>100</v>
      </c>
      <c r="R1176" s="8">
        <f>1.454*C1176</f>
        <v>134.84032499999998</v>
      </c>
      <c r="S1176" s="9">
        <f>E1176*1.454*0.4</f>
        <v>53.93612999999999</v>
      </c>
      <c r="T1176" s="9">
        <f>E1176*1.454*0.2</f>
        <v>26.968064999999996</v>
      </c>
      <c r="U1176" s="9">
        <f>E1176*1.454*0.2</f>
        <v>26.968064999999996</v>
      </c>
      <c r="V1176" s="9">
        <f>E1176*1.454*0.2</f>
        <v>26.968064999999996</v>
      </c>
      <c r="W1176" s="9">
        <f>H1176*1.454</f>
        <v>0</v>
      </c>
      <c r="X1176" s="9">
        <f>K1176*1.454</f>
        <v>0</v>
      </c>
      <c r="Y1176" s="4">
        <f t="shared" si="172"/>
        <v>53.93612999999999</v>
      </c>
    </row>
    <row r="1177" spans="1:25" ht="18.75" outlineLevel="2">
      <c r="A1177" s="160">
        <v>3</v>
      </c>
      <c r="B1177" s="158" t="s">
        <v>57</v>
      </c>
      <c r="C1177" s="158"/>
      <c r="D1177" s="158"/>
      <c r="E1177" s="158"/>
      <c r="F1177" s="158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4">
        <f t="shared" si="172"/>
        <v>0</v>
      </c>
    </row>
    <row r="1178" spans="1:25" ht="18" outlineLevel="2">
      <c r="A1178" s="160"/>
      <c r="B1178" s="31">
        <f>D1178+G1178+J1178</f>
        <v>20</v>
      </c>
      <c r="C1178" s="31">
        <f>E1178+H1178+K1178</f>
        <v>74.6</v>
      </c>
      <c r="D1178" s="31">
        <v>20</v>
      </c>
      <c r="E1178" s="8">
        <f>D1178*FORECAST(D1178,AA$10:AA$11,Z$10:Z$11)</f>
        <v>74.6</v>
      </c>
      <c r="F1178" s="31" t="s">
        <v>433</v>
      </c>
      <c r="G1178" s="31"/>
      <c r="H1178" s="31"/>
      <c r="I1178" s="31"/>
      <c r="J1178" s="31"/>
      <c r="K1178" s="31"/>
      <c r="L1178" s="31"/>
      <c r="M1178" s="31"/>
      <c r="N1178" s="31">
        <v>500</v>
      </c>
      <c r="O1178" s="8">
        <f>C1178/0.92</f>
        <v>81.08695652173913</v>
      </c>
      <c r="P1178" s="31">
        <v>2</v>
      </c>
      <c r="Q1178" s="31">
        <v>150</v>
      </c>
      <c r="R1178" s="8">
        <f>1.454*C1178</f>
        <v>108.46839999999999</v>
      </c>
      <c r="S1178" s="9">
        <f>E1178*1.454*0.4</f>
        <v>43.38736</v>
      </c>
      <c r="T1178" s="9">
        <f>E1178*1.454*0.2</f>
        <v>21.69368</v>
      </c>
      <c r="U1178" s="9">
        <f>E1178*1.454*0.2</f>
        <v>21.69368</v>
      </c>
      <c r="V1178" s="9">
        <f>E1178*1.454*0.2</f>
        <v>21.69368</v>
      </c>
      <c r="W1178" s="9">
        <f>H1178*1.454</f>
        <v>0</v>
      </c>
      <c r="X1178" s="9">
        <f>K1178*1.454</f>
        <v>0</v>
      </c>
      <c r="Y1178" s="4">
        <f t="shared" si="172"/>
        <v>43.38736</v>
      </c>
    </row>
    <row r="1179" spans="1:25" ht="18.75" outlineLevel="2">
      <c r="A1179" s="160">
        <v>4</v>
      </c>
      <c r="B1179" s="158" t="s">
        <v>744</v>
      </c>
      <c r="C1179" s="158"/>
      <c r="D1179" s="158"/>
      <c r="E1179" s="158"/>
      <c r="F1179" s="158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4">
        <f t="shared" si="172"/>
        <v>0</v>
      </c>
    </row>
    <row r="1180" spans="1:25" ht="18" outlineLevel="2">
      <c r="A1180" s="160"/>
      <c r="B1180" s="31">
        <v>132</v>
      </c>
      <c r="C1180" s="31">
        <v>350</v>
      </c>
      <c r="D1180" s="31">
        <v>132</v>
      </c>
      <c r="E1180" s="8">
        <v>350</v>
      </c>
      <c r="F1180" s="31" t="s">
        <v>433</v>
      </c>
      <c r="G1180" s="31"/>
      <c r="H1180" s="31"/>
      <c r="I1180" s="31"/>
      <c r="J1180" s="31"/>
      <c r="K1180" s="31"/>
      <c r="L1180" s="31"/>
      <c r="M1180" s="31">
        <v>290</v>
      </c>
      <c r="N1180" s="31">
        <v>3480</v>
      </c>
      <c r="O1180" s="8">
        <v>350</v>
      </c>
      <c r="P1180" s="31">
        <v>1</v>
      </c>
      <c r="Q1180" s="31">
        <v>400</v>
      </c>
      <c r="R1180" s="8">
        <v>489.365</v>
      </c>
      <c r="S1180" s="9">
        <f>R1180*0.4</f>
        <v>195.746</v>
      </c>
      <c r="T1180" s="9">
        <f>R1180*0.2</f>
        <v>97.873</v>
      </c>
      <c r="U1180" s="9">
        <f>R1180*0.2</f>
        <v>97.873</v>
      </c>
      <c r="V1180" s="9">
        <f>R1180*0.2</f>
        <v>97.873</v>
      </c>
      <c r="W1180" s="9">
        <f>H1180*1.454</f>
        <v>0</v>
      </c>
      <c r="X1180" s="9">
        <f>K1180*1.454</f>
        <v>0</v>
      </c>
      <c r="Y1180" s="4">
        <f t="shared" si="172"/>
        <v>195.746</v>
      </c>
    </row>
    <row r="1181" spans="1:25" ht="36" outlineLevel="2">
      <c r="A1181" s="6" t="s">
        <v>431</v>
      </c>
      <c r="B1181" s="32">
        <f>B1174+B1176+B1178+B1180</f>
        <v>222</v>
      </c>
      <c r="C1181" s="33">
        <f>C1174+C1176+C1178+C1180</f>
        <v>623.7375</v>
      </c>
      <c r="D1181" s="32">
        <f>D1174+D1176+D1178+D1180</f>
        <v>222</v>
      </c>
      <c r="E1181" s="33">
        <f>E1174+E1176+E1178+E1180</f>
        <v>623.7375</v>
      </c>
      <c r="F1181" s="32" t="s">
        <v>433</v>
      </c>
      <c r="G1181" s="32">
        <f>G1174+G1176+G1178+G1180</f>
        <v>0</v>
      </c>
      <c r="H1181" s="32">
        <f>H1174+H1176+H1178+H1180</f>
        <v>0</v>
      </c>
      <c r="I1181" s="32" t="s">
        <v>441</v>
      </c>
      <c r="J1181" s="32">
        <f>J1174+J1176+J1178+J1180</f>
        <v>0</v>
      </c>
      <c r="K1181" s="32">
        <f>K1174+K1176+K1178+K1180</f>
        <v>0</v>
      </c>
      <c r="L1181" s="32" t="s">
        <v>441</v>
      </c>
      <c r="M1181" s="32">
        <f aca="true" t="shared" si="180" ref="M1181:X1181">M1174+M1176+M1178+M1180</f>
        <v>290</v>
      </c>
      <c r="N1181" s="32">
        <f t="shared" si="180"/>
        <v>5430</v>
      </c>
      <c r="O1181" s="33">
        <f t="shared" si="180"/>
        <v>647.5407608695652</v>
      </c>
      <c r="P1181" s="32">
        <f t="shared" si="180"/>
        <v>7</v>
      </c>
      <c r="Q1181" s="32">
        <f t="shared" si="180"/>
        <v>750</v>
      </c>
      <c r="R1181" s="33">
        <f t="shared" si="180"/>
        <v>887.379325</v>
      </c>
      <c r="S1181" s="33">
        <f t="shared" si="180"/>
        <v>354.95173</v>
      </c>
      <c r="T1181" s="33">
        <f t="shared" si="180"/>
        <v>177.475865</v>
      </c>
      <c r="U1181" s="33">
        <f t="shared" si="180"/>
        <v>177.475865</v>
      </c>
      <c r="V1181" s="33">
        <f>V1174+V1176+V1178+V1180</f>
        <v>177.475865</v>
      </c>
      <c r="W1181" s="33">
        <f t="shared" si="180"/>
        <v>0</v>
      </c>
      <c r="X1181" s="33">
        <f t="shared" si="180"/>
        <v>0</v>
      </c>
      <c r="Y1181" s="4">
        <f t="shared" si="172"/>
        <v>354.95173</v>
      </c>
    </row>
    <row r="1182" spans="1:25" ht="18.75" outlineLevel="2">
      <c r="A1182" s="160">
        <v>1</v>
      </c>
      <c r="B1182" s="158" t="s">
        <v>638</v>
      </c>
      <c r="C1182" s="158"/>
      <c r="D1182" s="158"/>
      <c r="E1182" s="158"/>
      <c r="F1182" s="158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4">
        <f t="shared" si="172"/>
        <v>0</v>
      </c>
    </row>
    <row r="1183" spans="1:25" ht="18" outlineLevel="2">
      <c r="A1183" s="160"/>
      <c r="B1183" s="31">
        <f>D1183+G1183+J1183</f>
        <v>5</v>
      </c>
      <c r="C1183" s="31">
        <f>E1183+H1183+K1183</f>
        <v>37.6</v>
      </c>
      <c r="D1183" s="31">
        <v>5</v>
      </c>
      <c r="E1183" s="8">
        <f>D1183*FORECAST(D1183,AA$5:AA$6,Z$5:Z$6)</f>
        <v>37.6</v>
      </c>
      <c r="F1183" s="31" t="s">
        <v>433</v>
      </c>
      <c r="G1183" s="31"/>
      <c r="H1183" s="31"/>
      <c r="I1183" s="31"/>
      <c r="J1183" s="31"/>
      <c r="K1183" s="31"/>
      <c r="L1183" s="31"/>
      <c r="M1183" s="31"/>
      <c r="N1183" s="31">
        <v>150</v>
      </c>
      <c r="O1183" s="8">
        <f>C1183/0.92</f>
        <v>40.869565217391305</v>
      </c>
      <c r="P1183" s="31"/>
      <c r="Q1183" s="31"/>
      <c r="R1183" s="8">
        <f>1.454*C1183</f>
        <v>54.6704</v>
      </c>
      <c r="S1183" s="9">
        <f>E1183*1.454*0.4</f>
        <v>21.868160000000003</v>
      </c>
      <c r="T1183" s="9">
        <f>E1183*1.454*0.2</f>
        <v>10.934080000000002</v>
      </c>
      <c r="U1183" s="9">
        <f>E1183*1.454*0.2</f>
        <v>10.934080000000002</v>
      </c>
      <c r="V1183" s="9">
        <f>E1183*1.454*0.2</f>
        <v>10.934080000000002</v>
      </c>
      <c r="W1183" s="9">
        <f>H1183*1.454</f>
        <v>0</v>
      </c>
      <c r="X1183" s="9">
        <f>K1183*1.454</f>
        <v>0</v>
      </c>
      <c r="Y1183" s="4">
        <f t="shared" si="172"/>
        <v>21.868160000000003</v>
      </c>
    </row>
    <row r="1184" spans="1:25" ht="18.75" outlineLevel="2">
      <c r="A1184" s="160">
        <v>1</v>
      </c>
      <c r="B1184" s="158" t="s">
        <v>321</v>
      </c>
      <c r="C1184" s="158"/>
      <c r="D1184" s="158"/>
      <c r="E1184" s="158"/>
      <c r="F1184" s="158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4">
        <f t="shared" si="172"/>
        <v>0</v>
      </c>
    </row>
    <row r="1185" spans="1:25" ht="18" outlineLevel="2">
      <c r="A1185" s="160"/>
      <c r="B1185" s="31">
        <f>D1185+G1185+J1185</f>
        <v>20</v>
      </c>
      <c r="C1185" s="31">
        <f>E1185+H1185+K1185</f>
        <v>74.6</v>
      </c>
      <c r="D1185" s="31">
        <v>20</v>
      </c>
      <c r="E1185" s="8">
        <f>D1185*FORECAST(D1185,AA$10:AA$11,Z$10:Z$11)</f>
        <v>74.6</v>
      </c>
      <c r="F1185" s="31" t="s">
        <v>433</v>
      </c>
      <c r="G1185" s="31"/>
      <c r="H1185" s="31"/>
      <c r="I1185" s="31"/>
      <c r="J1185" s="31"/>
      <c r="K1185" s="31"/>
      <c r="L1185" s="31"/>
      <c r="M1185" s="31"/>
      <c r="N1185" s="31">
        <v>600</v>
      </c>
      <c r="O1185" s="8">
        <f>C1185/0.92</f>
        <v>81.08695652173913</v>
      </c>
      <c r="P1185" s="31">
        <v>1</v>
      </c>
      <c r="Q1185" s="31">
        <v>100</v>
      </c>
      <c r="R1185" s="8">
        <f>1.454*C1185</f>
        <v>108.46839999999999</v>
      </c>
      <c r="S1185" s="9">
        <f>E1185*1.454*0.4</f>
        <v>43.38736</v>
      </c>
      <c r="T1185" s="9">
        <f>E1185*1.454*0.2</f>
        <v>21.69368</v>
      </c>
      <c r="U1185" s="9">
        <f>E1185*1.454*0.2</f>
        <v>21.69368</v>
      </c>
      <c r="V1185" s="9">
        <f>E1185*1.454*0.2</f>
        <v>21.69368</v>
      </c>
      <c r="W1185" s="9">
        <f>H1185*1.454</f>
        <v>0</v>
      </c>
      <c r="X1185" s="9">
        <f>K1185*1.454</f>
        <v>0</v>
      </c>
      <c r="Y1185" s="4">
        <f t="shared" si="172"/>
        <v>43.38736</v>
      </c>
    </row>
    <row r="1186" spans="1:25" ht="18.75" outlineLevel="2">
      <c r="A1186" s="160">
        <v>2</v>
      </c>
      <c r="B1186" s="158" t="s">
        <v>679</v>
      </c>
      <c r="C1186" s="158"/>
      <c r="D1186" s="158"/>
      <c r="E1186" s="158"/>
      <c r="F1186" s="158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4">
        <f t="shared" si="172"/>
        <v>0</v>
      </c>
    </row>
    <row r="1187" spans="1:25" ht="18" outlineLevel="2">
      <c r="A1187" s="160"/>
      <c r="B1187" s="31">
        <f>D1187+G1187+J1187</f>
        <v>10</v>
      </c>
      <c r="C1187" s="18">
        <f>E1187+H1187+K1187</f>
        <v>55.26666666666667</v>
      </c>
      <c r="D1187" s="31">
        <v>10</v>
      </c>
      <c r="E1187" s="8">
        <f>D1187*FORECAST(D1187,AA$7:AA$8,Z$7:Z$8)</f>
        <v>55.26666666666667</v>
      </c>
      <c r="F1187" s="31" t="s">
        <v>433</v>
      </c>
      <c r="G1187" s="31"/>
      <c r="H1187" s="31"/>
      <c r="I1187" s="31"/>
      <c r="J1187" s="31"/>
      <c r="K1187" s="31"/>
      <c r="L1187" s="31"/>
      <c r="M1187" s="31"/>
      <c r="N1187" s="31">
        <v>300</v>
      </c>
      <c r="O1187" s="8">
        <f>C1187/0.92</f>
        <v>60.072463768115945</v>
      </c>
      <c r="P1187" s="31">
        <v>1</v>
      </c>
      <c r="Q1187" s="31">
        <v>100</v>
      </c>
      <c r="R1187" s="8">
        <f>1.454*C1187</f>
        <v>80.35773333333334</v>
      </c>
      <c r="S1187" s="9">
        <f>E1187*1.454*0.4</f>
        <v>32.14309333333334</v>
      </c>
      <c r="T1187" s="9">
        <f>E1187*1.454*0.2</f>
        <v>16.07154666666667</v>
      </c>
      <c r="U1187" s="9">
        <f>E1187*1.454*0.2</f>
        <v>16.07154666666667</v>
      </c>
      <c r="V1187" s="9">
        <f>E1187*1.454*0.2</f>
        <v>16.07154666666667</v>
      </c>
      <c r="W1187" s="9">
        <f>H1187*1.454</f>
        <v>0</v>
      </c>
      <c r="X1187" s="9">
        <f>K1187*1.454</f>
        <v>0</v>
      </c>
      <c r="Y1187" s="4">
        <f t="shared" si="172"/>
        <v>32.14309333333334</v>
      </c>
    </row>
    <row r="1188" spans="1:25" ht="18.75" outlineLevel="2">
      <c r="A1188" s="160">
        <v>3</v>
      </c>
      <c r="B1188" s="158" t="s">
        <v>322</v>
      </c>
      <c r="C1188" s="158"/>
      <c r="D1188" s="158"/>
      <c r="E1188" s="158"/>
      <c r="F1188" s="158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4">
        <f t="shared" si="172"/>
        <v>0</v>
      </c>
    </row>
    <row r="1189" spans="1:25" ht="18" outlineLevel="2">
      <c r="A1189" s="160"/>
      <c r="B1189" s="31">
        <f>D1189+G1189+J1189</f>
        <v>35</v>
      </c>
      <c r="C1189" s="18">
        <f>E1189+H1189+K1189</f>
        <v>100.646875</v>
      </c>
      <c r="D1189" s="31">
        <v>35</v>
      </c>
      <c r="E1189" s="8">
        <f>D1189*FORECAST(D1189,AA$11:AA$12,Z$11:Z$12)</f>
        <v>100.646875</v>
      </c>
      <c r="F1189" s="31" t="s">
        <v>433</v>
      </c>
      <c r="G1189" s="31"/>
      <c r="H1189" s="31"/>
      <c r="I1189" s="31"/>
      <c r="J1189" s="31"/>
      <c r="K1189" s="31"/>
      <c r="L1189" s="31"/>
      <c r="M1189" s="31"/>
      <c r="N1189" s="31">
        <v>1000</v>
      </c>
      <c r="O1189" s="8">
        <f>C1189/0.92</f>
        <v>109.39877717391303</v>
      </c>
      <c r="P1189" s="31">
        <v>2</v>
      </c>
      <c r="Q1189" s="31">
        <v>200</v>
      </c>
      <c r="R1189" s="8">
        <f>1.454*C1189</f>
        <v>146.34055625</v>
      </c>
      <c r="S1189" s="9">
        <f>E1189*1.454*0.4</f>
        <v>58.5362225</v>
      </c>
      <c r="T1189" s="9">
        <f>E1189*1.454*0.2</f>
        <v>29.26811125</v>
      </c>
      <c r="U1189" s="9">
        <f>E1189*1.454*0.2</f>
        <v>29.26811125</v>
      </c>
      <c r="V1189" s="9">
        <f>E1189*1.454*0.2</f>
        <v>29.26811125</v>
      </c>
      <c r="W1189" s="9">
        <f>H1189*1.454</f>
        <v>0</v>
      </c>
      <c r="X1189" s="9">
        <f>K1189*1.454</f>
        <v>0</v>
      </c>
      <c r="Y1189" s="4">
        <f t="shared" si="172"/>
        <v>58.5362225</v>
      </c>
    </row>
    <row r="1190" spans="1:25" ht="36" outlineLevel="2">
      <c r="A1190" s="7" t="s">
        <v>431</v>
      </c>
      <c r="B1190" s="34">
        <f>B1185+B1187+B1189</f>
        <v>65</v>
      </c>
      <c r="C1190" s="35">
        <f>C1185+C1187+C1189</f>
        <v>230.51354166666667</v>
      </c>
      <c r="D1190" s="34">
        <f>D1185+D1187+D1189</f>
        <v>65</v>
      </c>
      <c r="E1190" s="35">
        <f>E1185+E1187+E1189</f>
        <v>230.51354166666667</v>
      </c>
      <c r="F1190" s="34" t="s">
        <v>433</v>
      </c>
      <c r="G1190" s="34">
        <f>G1185+G1187+G1189</f>
        <v>0</v>
      </c>
      <c r="H1190" s="34">
        <f>H1185+H1187+H1189</f>
        <v>0</v>
      </c>
      <c r="I1190" s="34" t="s">
        <v>441</v>
      </c>
      <c r="J1190" s="34">
        <f>J1185+J1187+J1189</f>
        <v>0</v>
      </c>
      <c r="K1190" s="34">
        <f>K1185+K1187+K1189</f>
        <v>0</v>
      </c>
      <c r="L1190" s="34" t="s">
        <v>441</v>
      </c>
      <c r="M1190" s="34">
        <f aca="true" t="shared" si="181" ref="M1190:R1190">M1185+M1187+M1189</f>
        <v>0</v>
      </c>
      <c r="N1190" s="34">
        <f t="shared" si="181"/>
        <v>1900</v>
      </c>
      <c r="O1190" s="35">
        <f t="shared" si="181"/>
        <v>250.5581974637681</v>
      </c>
      <c r="P1190" s="34">
        <f t="shared" si="181"/>
        <v>4</v>
      </c>
      <c r="Q1190" s="34">
        <f t="shared" si="181"/>
        <v>400</v>
      </c>
      <c r="R1190" s="35">
        <f t="shared" si="181"/>
        <v>335.1666895833333</v>
      </c>
      <c r="S1190" s="35">
        <f aca="true" t="shared" si="182" ref="S1190:X1190">S1185+S1187+S1189</f>
        <v>134.06667583333333</v>
      </c>
      <c r="T1190" s="35">
        <f t="shared" si="182"/>
        <v>67.03333791666667</v>
      </c>
      <c r="U1190" s="35">
        <f t="shared" si="182"/>
        <v>67.03333791666667</v>
      </c>
      <c r="V1190" s="35">
        <f t="shared" si="182"/>
        <v>67.03333791666667</v>
      </c>
      <c r="W1190" s="35">
        <f t="shared" si="182"/>
        <v>0</v>
      </c>
      <c r="X1190" s="35">
        <f t="shared" si="182"/>
        <v>0</v>
      </c>
      <c r="Y1190" s="4">
        <f aca="true" t="shared" si="183" ref="Y1190:Y1252">U1190*2</f>
        <v>134.06667583333333</v>
      </c>
    </row>
    <row r="1191" spans="1:25" ht="36" hidden="1" outlineLevel="1">
      <c r="A1191" s="6" t="s">
        <v>434</v>
      </c>
      <c r="B1191" s="34">
        <f>B1168+B1170+B1172+B1181+B1183+B1190</f>
        <v>469</v>
      </c>
      <c r="C1191" s="35">
        <f>C1168+C1170+C1172+C1181+C1183+C1190</f>
        <v>1593.0718749999999</v>
      </c>
      <c r="D1191" s="34">
        <f>D1168+D1170+D1172+D1181+D1183+D1190</f>
        <v>468</v>
      </c>
      <c r="E1191" s="35">
        <f>E1168+E1170+E1172+E1181+E1183+E1190</f>
        <v>1589.0718749999999</v>
      </c>
      <c r="F1191" s="34" t="s">
        <v>433</v>
      </c>
      <c r="G1191" s="34">
        <f>G1168+G1170+G1172+G1181+G1183+G1190</f>
        <v>0</v>
      </c>
      <c r="H1191" s="34">
        <f>H1168+H1170+H1172+H1181+H1183+H1190</f>
        <v>0</v>
      </c>
      <c r="I1191" s="34" t="s">
        <v>441</v>
      </c>
      <c r="J1191" s="34">
        <f>J1168+J1170+J1172+J1181+J1183+J1190</f>
        <v>1</v>
      </c>
      <c r="K1191" s="34">
        <f>K1168+K1170+K1172+K1181+K1183+K1190</f>
        <v>4</v>
      </c>
      <c r="L1191" s="34" t="s">
        <v>433</v>
      </c>
      <c r="M1191" s="34">
        <f aca="true" t="shared" si="184" ref="M1191:R1191">M1168+M1170+M1172+M1181+M1183+M1190</f>
        <v>290</v>
      </c>
      <c r="N1191" s="34">
        <f t="shared" si="184"/>
        <v>11060</v>
      </c>
      <c r="O1191" s="34">
        <f t="shared" si="184"/>
        <v>1701.165081521739</v>
      </c>
      <c r="P1191" s="34">
        <f t="shared" si="184"/>
        <v>19</v>
      </c>
      <c r="Q1191" s="34">
        <f t="shared" si="184"/>
        <v>1900</v>
      </c>
      <c r="R1191" s="35">
        <f t="shared" si="184"/>
        <v>2296.7915062499997</v>
      </c>
      <c r="S1191" s="35">
        <f aca="true" t="shared" si="185" ref="S1191:X1191">S1168+S1170+S1172+S1181+S1183+S1190</f>
        <v>916.3902024999999</v>
      </c>
      <c r="T1191" s="35">
        <f t="shared" si="185"/>
        <v>458.19510124999994</v>
      </c>
      <c r="U1191" s="35">
        <f t="shared" si="185"/>
        <v>458.19510124999994</v>
      </c>
      <c r="V1191" s="35">
        <f t="shared" si="185"/>
        <v>458.19510124999994</v>
      </c>
      <c r="W1191" s="35">
        <f t="shared" si="185"/>
        <v>0</v>
      </c>
      <c r="X1191" s="35">
        <f t="shared" si="185"/>
        <v>5.816</v>
      </c>
      <c r="Y1191" s="4">
        <f t="shared" si="183"/>
        <v>916.3902024999999</v>
      </c>
    </row>
    <row r="1192" spans="1:25" ht="18.75" outlineLevel="2">
      <c r="A1192" s="160">
        <v>1</v>
      </c>
      <c r="B1192" s="158" t="s">
        <v>323</v>
      </c>
      <c r="C1192" s="158"/>
      <c r="D1192" s="158"/>
      <c r="E1192" s="158"/>
      <c r="F1192" s="158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4">
        <f t="shared" si="183"/>
        <v>0</v>
      </c>
    </row>
    <row r="1193" spans="1:25" ht="18" outlineLevel="2">
      <c r="A1193" s="160"/>
      <c r="B1193" s="31">
        <f>D1193+G1193+J1193</f>
        <v>140</v>
      </c>
      <c r="C1193" s="31">
        <f>E1193+H1193+K1193</f>
        <v>291.2</v>
      </c>
      <c r="D1193" s="31">
        <v>140</v>
      </c>
      <c r="E1193" s="8">
        <f>D1193*FORECAST(D1193,AA$14:AA$15,Z$14:Z$15)</f>
        <v>291.2</v>
      </c>
      <c r="F1193" s="31" t="s">
        <v>433</v>
      </c>
      <c r="G1193" s="31"/>
      <c r="H1193" s="31"/>
      <c r="I1193" s="31"/>
      <c r="J1193" s="31"/>
      <c r="K1193" s="31"/>
      <c r="L1193" s="31"/>
      <c r="M1193" s="31"/>
      <c r="N1193" s="31">
        <v>1500</v>
      </c>
      <c r="O1193" s="8">
        <f>C1193/0.92</f>
        <v>316.52173913043475</v>
      </c>
      <c r="P1193" s="31">
        <v>3</v>
      </c>
      <c r="Q1193" s="31">
        <f>750</f>
        <v>750</v>
      </c>
      <c r="R1193" s="8">
        <f>1.454*C1193</f>
        <v>423.40479999999997</v>
      </c>
      <c r="S1193" s="9">
        <f>E1193*1.454*0.4</f>
        <v>169.36192</v>
      </c>
      <c r="T1193" s="9">
        <f>E1193*1.454*0.2</f>
        <v>84.68096</v>
      </c>
      <c r="U1193" s="9">
        <f>E1193*1.454*0.2</f>
        <v>84.68096</v>
      </c>
      <c r="V1193" s="9">
        <f>E1193*1.454*0.2</f>
        <v>84.68096</v>
      </c>
      <c r="W1193" s="9">
        <f>H1193*1.454</f>
        <v>0</v>
      </c>
      <c r="X1193" s="9">
        <f>K1193*1.454</f>
        <v>0</v>
      </c>
      <c r="Y1193" s="4">
        <f t="shared" si="183"/>
        <v>169.36192</v>
      </c>
    </row>
    <row r="1194" spans="1:25" ht="18.75" outlineLevel="2">
      <c r="A1194" s="162">
        <v>2</v>
      </c>
      <c r="B1194" s="158" t="s">
        <v>324</v>
      </c>
      <c r="C1194" s="158"/>
      <c r="D1194" s="158"/>
      <c r="E1194" s="158"/>
      <c r="F1194" s="158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4">
        <f t="shared" si="183"/>
        <v>0</v>
      </c>
    </row>
    <row r="1195" spans="1:25" ht="18" outlineLevel="2">
      <c r="A1195" s="162"/>
      <c r="B1195" s="31">
        <f>D1195+G1195+J1195</f>
        <v>1</v>
      </c>
      <c r="C1195" s="31">
        <f>E1195+H1195+K1195</f>
        <v>100</v>
      </c>
      <c r="D1195" s="31"/>
      <c r="E1195" s="8">
        <f>D1195*FORECAST(D1195,AA$11:AA$12,Z$11:Z$12)</f>
        <v>0</v>
      </c>
      <c r="F1195" s="31"/>
      <c r="G1195" s="31"/>
      <c r="H1195" s="31"/>
      <c r="I1195" s="31"/>
      <c r="J1195" s="31">
        <v>1</v>
      </c>
      <c r="K1195" s="31">
        <v>100</v>
      </c>
      <c r="L1195" s="31" t="s">
        <v>433</v>
      </c>
      <c r="M1195" s="31">
        <v>300</v>
      </c>
      <c r="N1195" s="31"/>
      <c r="O1195" s="8">
        <f>C1195/0.92</f>
        <v>108.69565217391303</v>
      </c>
      <c r="P1195" s="31">
        <v>1</v>
      </c>
      <c r="Q1195" s="31">
        <v>150</v>
      </c>
      <c r="R1195" s="8">
        <f>1.454*C1195</f>
        <v>145.4</v>
      </c>
      <c r="S1195" s="9">
        <f>E1195*1.454*0.4</f>
        <v>0</v>
      </c>
      <c r="T1195" s="9">
        <f>E1195*1.454*0.1</f>
        <v>0</v>
      </c>
      <c r="U1195" s="9">
        <f>E1195*1.454*0.2</f>
        <v>0</v>
      </c>
      <c r="V1195" s="9">
        <f>E1195*1.454*0.2</f>
        <v>0</v>
      </c>
      <c r="W1195" s="9">
        <f>H1195*1.454</f>
        <v>0</v>
      </c>
      <c r="X1195" s="9">
        <f>K1195*1.454</f>
        <v>145.4</v>
      </c>
      <c r="Y1195" s="4">
        <f t="shared" si="183"/>
        <v>0</v>
      </c>
    </row>
    <row r="1196" spans="1:25" ht="36" outlineLevel="2">
      <c r="A1196" s="6" t="s">
        <v>431</v>
      </c>
      <c r="B1196" s="32">
        <f>B1193+B1195</f>
        <v>141</v>
      </c>
      <c r="C1196" s="32">
        <f>C1193+C1195</f>
        <v>391.2</v>
      </c>
      <c r="D1196" s="32">
        <f>D1193+D1195</f>
        <v>140</v>
      </c>
      <c r="E1196" s="32">
        <f>E1193+E1195</f>
        <v>291.2</v>
      </c>
      <c r="F1196" s="32" t="s">
        <v>433</v>
      </c>
      <c r="G1196" s="32">
        <f>G1193+G1195</f>
        <v>0</v>
      </c>
      <c r="H1196" s="32">
        <f>H1193+H1195</f>
        <v>0</v>
      </c>
      <c r="I1196" s="32" t="s">
        <v>441</v>
      </c>
      <c r="J1196" s="32">
        <f>J1193+J1195</f>
        <v>1</v>
      </c>
      <c r="K1196" s="32">
        <f>K1193+K1195</f>
        <v>100</v>
      </c>
      <c r="L1196" s="32" t="s">
        <v>433</v>
      </c>
      <c r="M1196" s="32">
        <f aca="true" t="shared" si="186" ref="M1196:X1196">M1193+M1195</f>
        <v>300</v>
      </c>
      <c r="N1196" s="32">
        <f t="shared" si="186"/>
        <v>1500</v>
      </c>
      <c r="O1196" s="33">
        <f t="shared" si="186"/>
        <v>425.21739130434776</v>
      </c>
      <c r="P1196" s="32">
        <f t="shared" si="186"/>
        <v>4</v>
      </c>
      <c r="Q1196" s="32">
        <f t="shared" si="186"/>
        <v>900</v>
      </c>
      <c r="R1196" s="33">
        <f t="shared" si="186"/>
        <v>568.8048</v>
      </c>
      <c r="S1196" s="33">
        <f t="shared" si="186"/>
        <v>169.36192</v>
      </c>
      <c r="T1196" s="33">
        <f t="shared" si="186"/>
        <v>84.68096</v>
      </c>
      <c r="U1196" s="33">
        <f t="shared" si="186"/>
        <v>84.68096</v>
      </c>
      <c r="V1196" s="33">
        <f t="shared" si="186"/>
        <v>84.68096</v>
      </c>
      <c r="W1196" s="33">
        <f t="shared" si="186"/>
        <v>0</v>
      </c>
      <c r="X1196" s="33">
        <f t="shared" si="186"/>
        <v>145.4</v>
      </c>
      <c r="Y1196" s="4">
        <f t="shared" si="183"/>
        <v>169.36192</v>
      </c>
    </row>
    <row r="1197" spans="1:25" ht="18.75" outlineLevel="2">
      <c r="A1197" s="160">
        <v>1</v>
      </c>
      <c r="B1197" s="158" t="s">
        <v>325</v>
      </c>
      <c r="C1197" s="158"/>
      <c r="D1197" s="158"/>
      <c r="E1197" s="158"/>
      <c r="F1197" s="158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4">
        <f t="shared" si="183"/>
        <v>0</v>
      </c>
    </row>
    <row r="1198" spans="1:25" ht="18" outlineLevel="2">
      <c r="A1198" s="160"/>
      <c r="B1198" s="31">
        <f>D1198+G1198+J1198</f>
        <v>115</v>
      </c>
      <c r="C1198" s="18">
        <f>E1198+H1198+K1198</f>
        <v>244.95</v>
      </c>
      <c r="D1198" s="31">
        <v>115</v>
      </c>
      <c r="E1198" s="8">
        <f>D1198*FORECAST(D1198,AA$14:AA$15,Z$14:Z$15)</f>
        <v>244.95</v>
      </c>
      <c r="F1198" s="31" t="s">
        <v>433</v>
      </c>
      <c r="G1198" s="31"/>
      <c r="H1198" s="31"/>
      <c r="I1198" s="31"/>
      <c r="J1198" s="31"/>
      <c r="K1198" s="31"/>
      <c r="L1198" s="31"/>
      <c r="M1198" s="31"/>
      <c r="N1198" s="31">
        <v>400</v>
      </c>
      <c r="O1198" s="8">
        <f>C1198/0.92</f>
        <v>266.25</v>
      </c>
      <c r="P1198" s="31">
        <v>3</v>
      </c>
      <c r="Q1198" s="31">
        <v>600</v>
      </c>
      <c r="R1198" s="8">
        <f>1.454*C1198</f>
        <v>356.15729999999996</v>
      </c>
      <c r="S1198" s="9">
        <f>E1198*1.454*0.4</f>
        <v>142.46292</v>
      </c>
      <c r="T1198" s="9">
        <f>E1198*1.454*0.2</f>
        <v>71.23146</v>
      </c>
      <c r="U1198" s="9">
        <f>E1198*1.454*0.2</f>
        <v>71.23146</v>
      </c>
      <c r="V1198" s="9">
        <f>E1198*1.454*0.2</f>
        <v>71.23146</v>
      </c>
      <c r="W1198" s="9">
        <f>H1198*1.454</f>
        <v>0</v>
      </c>
      <c r="X1198" s="9">
        <f>K1198*1.454</f>
        <v>0</v>
      </c>
      <c r="Y1198" s="4">
        <f t="shared" si="183"/>
        <v>142.46292</v>
      </c>
    </row>
    <row r="1199" spans="1:25" ht="18.75" outlineLevel="2">
      <c r="A1199" s="160">
        <v>1</v>
      </c>
      <c r="B1199" s="158" t="s">
        <v>326</v>
      </c>
      <c r="C1199" s="158"/>
      <c r="D1199" s="158"/>
      <c r="E1199" s="158"/>
      <c r="F1199" s="158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4">
        <f t="shared" si="183"/>
        <v>0</v>
      </c>
    </row>
    <row r="1200" spans="1:25" ht="18" outlineLevel="2">
      <c r="A1200" s="160"/>
      <c r="B1200" s="31">
        <f>D1200+G1200+J1200</f>
        <v>13</v>
      </c>
      <c r="C1200" s="18">
        <f>E1200+H1200+K1200</f>
        <v>61.79333333333334</v>
      </c>
      <c r="D1200" s="31">
        <v>13</v>
      </c>
      <c r="E1200" s="8">
        <f>D1200*FORECAST(D1200,AA$8:AA$9,Z$8:Z$9)</f>
        <v>61.79333333333334</v>
      </c>
      <c r="F1200" s="31" t="s">
        <v>433</v>
      </c>
      <c r="G1200" s="31"/>
      <c r="H1200" s="31"/>
      <c r="I1200" s="31"/>
      <c r="J1200" s="31"/>
      <c r="K1200" s="31"/>
      <c r="L1200" s="31"/>
      <c r="M1200" s="31"/>
      <c r="N1200" s="31">
        <v>400</v>
      </c>
      <c r="O1200" s="8">
        <f>C1200/0.92</f>
        <v>67.16666666666667</v>
      </c>
      <c r="P1200" s="31">
        <v>1</v>
      </c>
      <c r="Q1200" s="31">
        <v>100</v>
      </c>
      <c r="R1200" s="8">
        <f>1.454*C1200</f>
        <v>89.84750666666667</v>
      </c>
      <c r="S1200" s="9">
        <f>E1200*1.454*0.4</f>
        <v>35.939002666666674</v>
      </c>
      <c r="T1200" s="9">
        <f>E1200*1.454*0.2</f>
        <v>17.969501333333337</v>
      </c>
      <c r="U1200" s="9">
        <f>E1200*1.454*0.2</f>
        <v>17.969501333333337</v>
      </c>
      <c r="V1200" s="9">
        <f>E1200*1.454*0.2</f>
        <v>17.969501333333337</v>
      </c>
      <c r="W1200" s="9">
        <f>H1200*1.454</f>
        <v>0</v>
      </c>
      <c r="X1200" s="9">
        <f>K1200*1.454</f>
        <v>0</v>
      </c>
      <c r="Y1200" s="4">
        <f t="shared" si="183"/>
        <v>35.939002666666674</v>
      </c>
    </row>
    <row r="1201" spans="1:25" ht="18.75" outlineLevel="2">
      <c r="A1201" s="160">
        <v>2</v>
      </c>
      <c r="B1201" s="158" t="s">
        <v>327</v>
      </c>
      <c r="C1201" s="158"/>
      <c r="D1201" s="158"/>
      <c r="E1201" s="158"/>
      <c r="F1201" s="158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4">
        <f t="shared" si="183"/>
        <v>0</v>
      </c>
    </row>
    <row r="1202" spans="1:25" ht="18" outlineLevel="2">
      <c r="A1202" s="160"/>
      <c r="B1202" s="31">
        <f>D1202+G1202+J1202</f>
        <v>13</v>
      </c>
      <c r="C1202" s="18">
        <f>E1202+H1202+K1202</f>
        <v>61.79333333333334</v>
      </c>
      <c r="D1202" s="31">
        <v>13</v>
      </c>
      <c r="E1202" s="8">
        <f>D1202*FORECAST(D1202,AA$8:AA$9,Z$8:Z$9)</f>
        <v>61.79333333333334</v>
      </c>
      <c r="F1202" s="31" t="s">
        <v>433</v>
      </c>
      <c r="G1202" s="31"/>
      <c r="H1202" s="31"/>
      <c r="I1202" s="31"/>
      <c r="J1202" s="31"/>
      <c r="K1202" s="31"/>
      <c r="L1202" s="31"/>
      <c r="M1202" s="31"/>
      <c r="N1202" s="31">
        <v>400</v>
      </c>
      <c r="O1202" s="8">
        <f>C1202/0.92</f>
        <v>67.16666666666667</v>
      </c>
      <c r="P1202" s="31">
        <v>1</v>
      </c>
      <c r="Q1202" s="31">
        <v>100</v>
      </c>
      <c r="R1202" s="8">
        <f>1.454*C1202</f>
        <v>89.84750666666667</v>
      </c>
      <c r="S1202" s="9">
        <f>E1202*1.454*0.4</f>
        <v>35.939002666666674</v>
      </c>
      <c r="T1202" s="9">
        <f>E1202*1.454*0.2</f>
        <v>17.969501333333337</v>
      </c>
      <c r="U1202" s="9">
        <f>E1202*1.454*0.2</f>
        <v>17.969501333333337</v>
      </c>
      <c r="V1202" s="9">
        <f>E1202*1.454*0.2</f>
        <v>17.969501333333337</v>
      </c>
      <c r="W1202" s="9">
        <f>H1202*1.454</f>
        <v>0</v>
      </c>
      <c r="X1202" s="9">
        <f>K1202*1.454</f>
        <v>0</v>
      </c>
      <c r="Y1202" s="4">
        <f t="shared" si="183"/>
        <v>35.939002666666674</v>
      </c>
    </row>
    <row r="1203" spans="1:25" ht="18.75" outlineLevel="2">
      <c r="A1203" s="160">
        <v>3</v>
      </c>
      <c r="B1203" s="158" t="s">
        <v>639</v>
      </c>
      <c r="C1203" s="158"/>
      <c r="D1203" s="158"/>
      <c r="E1203" s="158"/>
      <c r="F1203" s="158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4">
        <f t="shared" si="183"/>
        <v>0</v>
      </c>
    </row>
    <row r="1204" spans="1:25" ht="18" outlineLevel="2">
      <c r="A1204" s="160"/>
      <c r="B1204" s="31">
        <f>D1204+G1204+J1204</f>
        <v>7</v>
      </c>
      <c r="C1204" s="18">
        <f>E1204+H1204+K1204</f>
        <v>46.35999999999999</v>
      </c>
      <c r="D1204" s="31">
        <v>6</v>
      </c>
      <c r="E1204" s="8">
        <f>D1204*FORECAST(D1204,AA$6:AA$7,Z$6:Z$7)</f>
        <v>42.35999999999999</v>
      </c>
      <c r="F1204" s="31" t="s">
        <v>433</v>
      </c>
      <c r="G1204" s="31"/>
      <c r="H1204" s="31"/>
      <c r="I1204" s="31"/>
      <c r="J1204" s="31">
        <v>1</v>
      </c>
      <c r="K1204" s="31">
        <v>4</v>
      </c>
      <c r="L1204" s="31" t="s">
        <v>433</v>
      </c>
      <c r="M1204" s="31"/>
      <c r="N1204" s="31">
        <v>250</v>
      </c>
      <c r="O1204" s="8">
        <f>C1204/0.92</f>
        <v>50.39130434782608</v>
      </c>
      <c r="P1204" s="31">
        <v>1</v>
      </c>
      <c r="Q1204" s="31">
        <v>40</v>
      </c>
      <c r="R1204" s="8">
        <f>1.454*C1204</f>
        <v>67.40744</v>
      </c>
      <c r="S1204" s="9">
        <f>E1204*1.454*0.4</f>
        <v>24.636575999999994</v>
      </c>
      <c r="T1204" s="9">
        <f>E1204*1.454*0.2</f>
        <v>12.318287999999997</v>
      </c>
      <c r="U1204" s="9">
        <f>E1204*1.454*0.2</f>
        <v>12.318287999999997</v>
      </c>
      <c r="V1204" s="9">
        <f>E1204*1.454*0.2</f>
        <v>12.318287999999997</v>
      </c>
      <c r="W1204" s="9">
        <f>H1204*1.454</f>
        <v>0</v>
      </c>
      <c r="X1204" s="9">
        <f>K1204*1.454</f>
        <v>5.816</v>
      </c>
      <c r="Y1204" s="4">
        <f t="shared" si="183"/>
        <v>24.636575999999994</v>
      </c>
    </row>
    <row r="1205" spans="1:25" ht="18.75" outlineLevel="2">
      <c r="A1205" s="160">
        <v>4</v>
      </c>
      <c r="B1205" s="158" t="s">
        <v>328</v>
      </c>
      <c r="C1205" s="158"/>
      <c r="D1205" s="158"/>
      <c r="E1205" s="158"/>
      <c r="F1205" s="158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4">
        <f t="shared" si="183"/>
        <v>0</v>
      </c>
    </row>
    <row r="1206" spans="1:25" ht="18" outlineLevel="2">
      <c r="A1206" s="160"/>
      <c r="B1206" s="31">
        <f>D1206+G1206+J1206</f>
        <v>8</v>
      </c>
      <c r="C1206" s="18">
        <f>E1206+H1206+K1206</f>
        <v>49.81333333333332</v>
      </c>
      <c r="D1206" s="31">
        <v>8</v>
      </c>
      <c r="E1206" s="8">
        <f>D1206*FORECAST(D1206,AA$6:AA$7,Z$6:Z$7)</f>
        <v>49.81333333333332</v>
      </c>
      <c r="F1206" s="31" t="s">
        <v>433</v>
      </c>
      <c r="G1206" s="31"/>
      <c r="H1206" s="31"/>
      <c r="I1206" s="31"/>
      <c r="J1206" s="31"/>
      <c r="K1206" s="31"/>
      <c r="L1206" s="31"/>
      <c r="M1206" s="31"/>
      <c r="N1206" s="31">
        <v>240</v>
      </c>
      <c r="O1206" s="8">
        <f>C1206/0.92</f>
        <v>54.14492753623187</v>
      </c>
      <c r="P1206" s="31">
        <v>1</v>
      </c>
      <c r="Q1206" s="31">
        <v>40</v>
      </c>
      <c r="R1206" s="8">
        <f>1.454*C1206</f>
        <v>72.42858666666665</v>
      </c>
      <c r="S1206" s="9">
        <f>E1206*1.454*0.4</f>
        <v>28.97143466666666</v>
      </c>
      <c r="T1206" s="9">
        <f>E1206*1.454*0.2</f>
        <v>14.48571733333333</v>
      </c>
      <c r="U1206" s="9">
        <f>E1206*1.454*0.2</f>
        <v>14.48571733333333</v>
      </c>
      <c r="V1206" s="9">
        <f>E1206*1.454*0.2</f>
        <v>14.48571733333333</v>
      </c>
      <c r="W1206" s="9">
        <f>H1206*1.454</f>
        <v>0</v>
      </c>
      <c r="X1206" s="9">
        <f>K1206*1.454</f>
        <v>0</v>
      </c>
      <c r="Y1206" s="4">
        <f t="shared" si="183"/>
        <v>28.97143466666666</v>
      </c>
    </row>
    <row r="1207" spans="1:25" ht="18.75" outlineLevel="2">
      <c r="A1207" s="160">
        <v>5</v>
      </c>
      <c r="B1207" s="158" t="s">
        <v>329</v>
      </c>
      <c r="C1207" s="158"/>
      <c r="D1207" s="158"/>
      <c r="E1207" s="158"/>
      <c r="F1207" s="158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4">
        <f t="shared" si="183"/>
        <v>0</v>
      </c>
    </row>
    <row r="1208" spans="1:25" ht="18" outlineLevel="2">
      <c r="A1208" s="160"/>
      <c r="B1208" s="31">
        <f>D1208+G1208+J1208</f>
        <v>20</v>
      </c>
      <c r="C1208" s="31">
        <f>E1208+H1208+K1208</f>
        <v>74.6</v>
      </c>
      <c r="D1208" s="31">
        <v>20</v>
      </c>
      <c r="E1208" s="8">
        <f>D1208*FORECAST(D1208,AA$10:AA$11,Z$10:Z$11)</f>
        <v>74.6</v>
      </c>
      <c r="F1208" s="31" t="s">
        <v>433</v>
      </c>
      <c r="G1208" s="31"/>
      <c r="H1208" s="31"/>
      <c r="I1208" s="31"/>
      <c r="J1208" s="31"/>
      <c r="K1208" s="31"/>
      <c r="L1208" s="31"/>
      <c r="M1208" s="31"/>
      <c r="N1208" s="31">
        <v>600</v>
      </c>
      <c r="O1208" s="8">
        <f>C1208/0.92</f>
        <v>81.08695652173913</v>
      </c>
      <c r="P1208" s="31">
        <v>1</v>
      </c>
      <c r="Q1208" s="31">
        <v>100</v>
      </c>
      <c r="R1208" s="8">
        <f>1.454*C1208</f>
        <v>108.46839999999999</v>
      </c>
      <c r="S1208" s="9">
        <f>E1208*1.454*0.4</f>
        <v>43.38736</v>
      </c>
      <c r="T1208" s="9">
        <f>E1208*1.454*0.2</f>
        <v>21.69368</v>
      </c>
      <c r="U1208" s="9">
        <f>E1208*1.454*0.2</f>
        <v>21.69368</v>
      </c>
      <c r="V1208" s="9">
        <f>E1208*1.454*0.2</f>
        <v>21.69368</v>
      </c>
      <c r="W1208" s="9">
        <f>H1208*1.454</f>
        <v>0</v>
      </c>
      <c r="X1208" s="9">
        <f>K1208*1.454</f>
        <v>0</v>
      </c>
      <c r="Y1208" s="4">
        <f t="shared" si="183"/>
        <v>43.38736</v>
      </c>
    </row>
    <row r="1209" spans="1:25" ht="36" outlineLevel="2">
      <c r="A1209" s="6" t="s">
        <v>431</v>
      </c>
      <c r="B1209" s="32">
        <f>B1200+B1202+B1204+B1206+B1208</f>
        <v>61</v>
      </c>
      <c r="C1209" s="33">
        <f>C1200+C1202+C1204+C1206+C1208</f>
        <v>294.36</v>
      </c>
      <c r="D1209" s="32">
        <f>D1200+D1202+D1204+D1206+D1208</f>
        <v>60</v>
      </c>
      <c r="E1209" s="33">
        <f>E1200+E1202+E1204+E1206+E1208</f>
        <v>290.36</v>
      </c>
      <c r="F1209" s="32" t="s">
        <v>433</v>
      </c>
      <c r="G1209" s="32">
        <f>G1200+G1202+G1204+G1206+G1208</f>
        <v>0</v>
      </c>
      <c r="H1209" s="32">
        <f>H1200+H1202+H1204+H1206+H1208</f>
        <v>0</v>
      </c>
      <c r="I1209" s="32" t="s">
        <v>441</v>
      </c>
      <c r="J1209" s="32">
        <f>J1200+J1202+J1204+J1206+J1208</f>
        <v>1</v>
      </c>
      <c r="K1209" s="32">
        <f>K1200+K1202+K1204+K1206+K1208</f>
        <v>4</v>
      </c>
      <c r="L1209" s="32" t="s">
        <v>433</v>
      </c>
      <c r="M1209" s="32">
        <f aca="true" t="shared" si="187" ref="M1209:X1209">M1200+M1202+M1204+M1206+M1208</f>
        <v>0</v>
      </c>
      <c r="N1209" s="32">
        <f t="shared" si="187"/>
        <v>1890</v>
      </c>
      <c r="O1209" s="33">
        <f t="shared" si="187"/>
        <v>319.95652173913044</v>
      </c>
      <c r="P1209" s="32">
        <f t="shared" si="187"/>
        <v>5</v>
      </c>
      <c r="Q1209" s="32">
        <f t="shared" si="187"/>
        <v>380</v>
      </c>
      <c r="R1209" s="33">
        <f t="shared" si="187"/>
        <v>427.99944</v>
      </c>
      <c r="S1209" s="33">
        <f t="shared" si="187"/>
        <v>168.873376</v>
      </c>
      <c r="T1209" s="33">
        <f t="shared" si="187"/>
        <v>84.436688</v>
      </c>
      <c r="U1209" s="33">
        <f t="shared" si="187"/>
        <v>84.436688</v>
      </c>
      <c r="V1209" s="33">
        <f t="shared" si="187"/>
        <v>84.436688</v>
      </c>
      <c r="W1209" s="33">
        <f t="shared" si="187"/>
        <v>0</v>
      </c>
      <c r="X1209" s="33">
        <f t="shared" si="187"/>
        <v>5.816</v>
      </c>
      <c r="Y1209" s="4">
        <f t="shared" si="183"/>
        <v>168.873376</v>
      </c>
    </row>
    <row r="1210" spans="1:25" ht="18.75" outlineLevel="2">
      <c r="A1210" s="160">
        <v>1</v>
      </c>
      <c r="B1210" s="158" t="s">
        <v>330</v>
      </c>
      <c r="C1210" s="158"/>
      <c r="D1210" s="158"/>
      <c r="E1210" s="158"/>
      <c r="F1210" s="158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4">
        <f t="shared" si="183"/>
        <v>0</v>
      </c>
    </row>
    <row r="1211" spans="1:25" ht="18" outlineLevel="2">
      <c r="A1211" s="160"/>
      <c r="B1211" s="31">
        <f>D1211+G1211+J1211</f>
        <v>30</v>
      </c>
      <c r="C1211" s="18">
        <f>E1211+H1211+K1211</f>
        <v>92.73749999999998</v>
      </c>
      <c r="D1211" s="31">
        <v>30</v>
      </c>
      <c r="E1211" s="8">
        <f>D1211*FORECAST(D1211,AA$11:AA$12,Z$11:Z$12)</f>
        <v>92.73749999999998</v>
      </c>
      <c r="F1211" s="31" t="s">
        <v>433</v>
      </c>
      <c r="G1211" s="31"/>
      <c r="H1211" s="31"/>
      <c r="I1211" s="31"/>
      <c r="J1211" s="31"/>
      <c r="K1211" s="31"/>
      <c r="L1211" s="31"/>
      <c r="M1211" s="31"/>
      <c r="N1211" s="31">
        <v>400</v>
      </c>
      <c r="O1211" s="8">
        <f>C1211/0.92</f>
        <v>100.80163043478258</v>
      </c>
      <c r="P1211" s="31">
        <v>1</v>
      </c>
      <c r="Q1211" s="31">
        <v>150</v>
      </c>
      <c r="R1211" s="8">
        <f>1.454*C1211</f>
        <v>134.84032499999998</v>
      </c>
      <c r="S1211" s="9">
        <f>E1211*1.454*0.4</f>
        <v>53.93612999999999</v>
      </c>
      <c r="T1211" s="9">
        <f>E1211*1.454*0.2</f>
        <v>26.968064999999996</v>
      </c>
      <c r="U1211" s="9">
        <f>E1211*1.454*0.2</f>
        <v>26.968064999999996</v>
      </c>
      <c r="V1211" s="9">
        <f>E1211*1.454*0.2</f>
        <v>26.968064999999996</v>
      </c>
      <c r="W1211" s="9">
        <f>H1211*1.454</f>
        <v>0</v>
      </c>
      <c r="X1211" s="9">
        <f>K1211*1.454</f>
        <v>0</v>
      </c>
      <c r="Y1211" s="4">
        <f t="shared" si="183"/>
        <v>53.93612999999999</v>
      </c>
    </row>
    <row r="1212" spans="1:25" ht="18.75" outlineLevel="2">
      <c r="A1212" s="160">
        <v>2</v>
      </c>
      <c r="B1212" s="158" t="s">
        <v>331</v>
      </c>
      <c r="C1212" s="158"/>
      <c r="D1212" s="158"/>
      <c r="E1212" s="158"/>
      <c r="F1212" s="158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4">
        <f t="shared" si="183"/>
        <v>0</v>
      </c>
    </row>
    <row r="1213" spans="1:25" ht="18" outlineLevel="2">
      <c r="A1213" s="160"/>
      <c r="B1213" s="31">
        <f>D1213+G1213+J1213</f>
        <v>33</v>
      </c>
      <c r="C1213" s="18">
        <f>E1213+H1213+K1213</f>
        <v>110.73749999999998</v>
      </c>
      <c r="D1213" s="31">
        <v>30</v>
      </c>
      <c r="E1213" s="8">
        <f>D1213*FORECAST(D1213,AA$11:AA$12,Z$11:Z$12)</f>
        <v>92.73749999999998</v>
      </c>
      <c r="F1213" s="31" t="s">
        <v>433</v>
      </c>
      <c r="G1213" s="31"/>
      <c r="H1213" s="31"/>
      <c r="I1213" s="31"/>
      <c r="J1213" s="31">
        <v>3</v>
      </c>
      <c r="K1213" s="31">
        <v>18</v>
      </c>
      <c r="L1213" s="31"/>
      <c r="M1213" s="31"/>
      <c r="N1213" s="31">
        <v>400</v>
      </c>
      <c r="O1213" s="8">
        <f>C1213/0.92</f>
        <v>120.36684782608694</v>
      </c>
      <c r="P1213" s="31">
        <v>2</v>
      </c>
      <c r="Q1213" s="31">
        <v>500</v>
      </c>
      <c r="R1213" s="8">
        <f>1.454*C1213</f>
        <v>161.01232499999998</v>
      </c>
      <c r="S1213" s="9">
        <f>E1213*1.454*0.4</f>
        <v>53.93612999999999</v>
      </c>
      <c r="T1213" s="9">
        <f>E1213*1.454*0.2</f>
        <v>26.968064999999996</v>
      </c>
      <c r="U1213" s="9">
        <f>E1213*1.454*0.2</f>
        <v>26.968064999999996</v>
      </c>
      <c r="V1213" s="9">
        <f>E1213*1.454*0.2</f>
        <v>26.968064999999996</v>
      </c>
      <c r="W1213" s="9">
        <f>H1213*1.454</f>
        <v>0</v>
      </c>
      <c r="X1213" s="9">
        <f>K1213*1.454</f>
        <v>26.172</v>
      </c>
      <c r="Y1213" s="4">
        <f t="shared" si="183"/>
        <v>53.93612999999999</v>
      </c>
    </row>
    <row r="1214" spans="1:25" ht="18.75" outlineLevel="2">
      <c r="A1214" s="160">
        <v>3</v>
      </c>
      <c r="B1214" s="158" t="s">
        <v>332</v>
      </c>
      <c r="C1214" s="158"/>
      <c r="D1214" s="158"/>
      <c r="E1214" s="158"/>
      <c r="F1214" s="158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4">
        <f t="shared" si="183"/>
        <v>0</v>
      </c>
    </row>
    <row r="1215" spans="1:25" ht="18" outlineLevel="2">
      <c r="A1215" s="160"/>
      <c r="B1215" s="31">
        <f>D1215+G1215+J1215</f>
        <v>30</v>
      </c>
      <c r="C1215" s="18">
        <f>E1215+H1215+K1215</f>
        <v>92.73749999999998</v>
      </c>
      <c r="D1215" s="31">
        <v>30</v>
      </c>
      <c r="E1215" s="8">
        <f>D1215*FORECAST(D1215,AA$11:AA$12,Z$11:Z$12)</f>
        <v>92.73749999999998</v>
      </c>
      <c r="F1215" s="31" t="s">
        <v>433</v>
      </c>
      <c r="G1215" s="31"/>
      <c r="H1215" s="31"/>
      <c r="I1215" s="31"/>
      <c r="J1215" s="31"/>
      <c r="K1215" s="31"/>
      <c r="L1215" s="31"/>
      <c r="M1215" s="31"/>
      <c r="N1215" s="31">
        <v>400</v>
      </c>
      <c r="O1215" s="8">
        <f>C1215/0.92</f>
        <v>100.80163043478258</v>
      </c>
      <c r="P1215" s="31"/>
      <c r="Q1215" s="31"/>
      <c r="R1215" s="8">
        <f>1.454*C1215</f>
        <v>134.84032499999998</v>
      </c>
      <c r="S1215" s="9">
        <f>E1215*1.454*0.4</f>
        <v>53.93612999999999</v>
      </c>
      <c r="T1215" s="9">
        <f>E1215*1.454*0.2</f>
        <v>26.968064999999996</v>
      </c>
      <c r="U1215" s="9">
        <f>E1215*1.454*0.2</f>
        <v>26.968064999999996</v>
      </c>
      <c r="V1215" s="9">
        <f>E1215*1.454*0.2</f>
        <v>26.968064999999996</v>
      </c>
      <c r="W1215" s="9">
        <f>H1215*1.454</f>
        <v>0</v>
      </c>
      <c r="X1215" s="9">
        <f>K1215*1.454</f>
        <v>0</v>
      </c>
      <c r="Y1215" s="4">
        <f t="shared" si="183"/>
        <v>53.93612999999999</v>
      </c>
    </row>
    <row r="1216" spans="1:25" ht="18.75" outlineLevel="2">
      <c r="A1216" s="160">
        <v>4</v>
      </c>
      <c r="B1216" s="158" t="s">
        <v>333</v>
      </c>
      <c r="C1216" s="158"/>
      <c r="D1216" s="158"/>
      <c r="E1216" s="158"/>
      <c r="F1216" s="158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4">
        <f t="shared" si="183"/>
        <v>0</v>
      </c>
    </row>
    <row r="1217" spans="1:25" ht="18" outlineLevel="2">
      <c r="A1217" s="160"/>
      <c r="B1217" s="31">
        <f>D1217+G1217+J1217</f>
        <v>30</v>
      </c>
      <c r="C1217" s="18">
        <f>E1217+H1217+K1217</f>
        <v>92.73749999999998</v>
      </c>
      <c r="D1217" s="31">
        <v>30</v>
      </c>
      <c r="E1217" s="8">
        <f>D1217*FORECAST(D1217,AA$11:AA$12,Z$11:Z$12)</f>
        <v>92.73749999999998</v>
      </c>
      <c r="F1217" s="31" t="s">
        <v>433</v>
      </c>
      <c r="G1217" s="31"/>
      <c r="H1217" s="31"/>
      <c r="I1217" s="31"/>
      <c r="J1217" s="31"/>
      <c r="K1217" s="31"/>
      <c r="L1217" s="31"/>
      <c r="M1217" s="31"/>
      <c r="N1217" s="31">
        <v>400</v>
      </c>
      <c r="O1217" s="8">
        <f>C1217/0.92</f>
        <v>100.80163043478258</v>
      </c>
      <c r="P1217" s="31"/>
      <c r="Q1217" s="31"/>
      <c r="R1217" s="8">
        <f>1.454*C1217</f>
        <v>134.84032499999998</v>
      </c>
      <c r="S1217" s="9">
        <f>E1217*1.454*0.4</f>
        <v>53.93612999999999</v>
      </c>
      <c r="T1217" s="9">
        <f>E1217*1.454*0.2</f>
        <v>26.968064999999996</v>
      </c>
      <c r="U1217" s="9">
        <f>E1217*1.454*0.2</f>
        <v>26.968064999999996</v>
      </c>
      <c r="V1217" s="9">
        <f>E1217*1.454*0.2</f>
        <v>26.968064999999996</v>
      </c>
      <c r="W1217" s="9">
        <f>H1217*1.454</f>
        <v>0</v>
      </c>
      <c r="X1217" s="9">
        <f>K1217*1.454</f>
        <v>0</v>
      </c>
      <c r="Y1217" s="4">
        <f t="shared" si="183"/>
        <v>53.93612999999999</v>
      </c>
    </row>
    <row r="1218" spans="1:25" ht="18.75" outlineLevel="2">
      <c r="A1218" s="160">
        <v>5</v>
      </c>
      <c r="B1218" s="158" t="s">
        <v>640</v>
      </c>
      <c r="C1218" s="158"/>
      <c r="D1218" s="158"/>
      <c r="E1218" s="158"/>
      <c r="F1218" s="158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4">
        <f t="shared" si="183"/>
        <v>0</v>
      </c>
    </row>
    <row r="1219" spans="1:25" ht="18" outlineLevel="2">
      <c r="A1219" s="160"/>
      <c r="B1219" s="31">
        <f>D1219+G1219+J1219</f>
        <v>2</v>
      </c>
      <c r="C1219" s="31">
        <f>E1219+H1219+K1219</f>
        <v>112</v>
      </c>
      <c r="D1219" s="31">
        <v>1</v>
      </c>
      <c r="E1219" s="8">
        <f>D1219*FORECAST(D1219,AA$4:AA$5,Z$4:Z$5)</f>
        <v>12</v>
      </c>
      <c r="F1219" s="31" t="s">
        <v>433</v>
      </c>
      <c r="G1219" s="31"/>
      <c r="H1219" s="31"/>
      <c r="I1219" s="31"/>
      <c r="J1219" s="31">
        <v>1</v>
      </c>
      <c r="K1219" s="31">
        <v>100</v>
      </c>
      <c r="L1219" s="31"/>
      <c r="M1219" s="31"/>
      <c r="N1219" s="31"/>
      <c r="O1219" s="8">
        <f>C1219/0.92</f>
        <v>121.73913043478261</v>
      </c>
      <c r="P1219" s="31">
        <v>1</v>
      </c>
      <c r="Q1219" s="31">
        <v>150</v>
      </c>
      <c r="R1219" s="8">
        <f>1.454*C1219</f>
        <v>162.84799999999998</v>
      </c>
      <c r="S1219" s="9">
        <f>E1219*1.454*0.4</f>
        <v>6.9792000000000005</v>
      </c>
      <c r="T1219" s="9">
        <f>E1219*1.454*0.2</f>
        <v>3.4896000000000003</v>
      </c>
      <c r="U1219" s="9">
        <f>E1219*1.454*0.2</f>
        <v>3.4896000000000003</v>
      </c>
      <c r="V1219" s="9">
        <f>E1219*1.454*0.2</f>
        <v>3.4896000000000003</v>
      </c>
      <c r="W1219" s="9">
        <f>H1219*1.454</f>
        <v>0</v>
      </c>
      <c r="X1219" s="9">
        <f>K1219*1.454</f>
        <v>145.4</v>
      </c>
      <c r="Y1219" s="4">
        <f t="shared" si="183"/>
        <v>6.9792000000000005</v>
      </c>
    </row>
    <row r="1220" spans="1:25" ht="18.75" outlineLevel="2">
      <c r="A1220" s="160">
        <v>6</v>
      </c>
      <c r="B1220" s="158" t="s">
        <v>334</v>
      </c>
      <c r="C1220" s="158"/>
      <c r="D1220" s="158"/>
      <c r="E1220" s="158"/>
      <c r="F1220" s="158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4">
        <f t="shared" si="183"/>
        <v>0</v>
      </c>
    </row>
    <row r="1221" spans="1:25" ht="18" outlineLevel="2">
      <c r="A1221" s="160"/>
      <c r="B1221" s="31">
        <f>D1221+G1221+J1221</f>
        <v>1</v>
      </c>
      <c r="C1221" s="31">
        <f>E1221+H1221+K1221</f>
        <v>500</v>
      </c>
      <c r="D1221" s="31"/>
      <c r="E1221" s="8">
        <f>D1221*FORECAST(D1221,AA$10:AA$11,Z$10:Z$11)</f>
        <v>0</v>
      </c>
      <c r="F1221" s="31"/>
      <c r="G1221" s="31">
        <v>1</v>
      </c>
      <c r="H1221" s="31">
        <v>500</v>
      </c>
      <c r="I1221" s="31" t="s">
        <v>472</v>
      </c>
      <c r="J1221" s="31"/>
      <c r="K1221" s="31"/>
      <c r="L1221" s="31"/>
      <c r="M1221" s="31">
        <v>500</v>
      </c>
      <c r="N1221" s="31"/>
      <c r="O1221" s="8">
        <f>C1221/0.92</f>
        <v>543.4782608695652</v>
      </c>
      <c r="P1221" s="31">
        <v>1</v>
      </c>
      <c r="Q1221" s="31">
        <v>1000</v>
      </c>
      <c r="R1221" s="8">
        <f>1.454*C1221</f>
        <v>727</v>
      </c>
      <c r="S1221" s="9">
        <f>E1221*1.454*0.4</f>
        <v>0</v>
      </c>
      <c r="T1221" s="9">
        <f>E1221*1.454*0.1</f>
        <v>0</v>
      </c>
      <c r="U1221" s="9">
        <f>E1221*1.454*0.2</f>
        <v>0</v>
      </c>
      <c r="V1221" s="9">
        <f>E1221*1.454*0.2</f>
        <v>0</v>
      </c>
      <c r="W1221" s="9">
        <f>H1221*1.454</f>
        <v>727</v>
      </c>
      <c r="X1221" s="9">
        <f>K1221*1.454</f>
        <v>0</v>
      </c>
      <c r="Y1221" s="4">
        <f t="shared" si="183"/>
        <v>0</v>
      </c>
    </row>
    <row r="1222" spans="1:25" ht="36" outlineLevel="2">
      <c r="A1222" s="6" t="s">
        <v>431</v>
      </c>
      <c r="B1222" s="32">
        <f>B1211+B1213+B1215+B1217+B1219+B1221</f>
        <v>126</v>
      </c>
      <c r="C1222" s="33">
        <f>C1211+C1213+C1215+C1217+C1219+C1221</f>
        <v>1000.9499999999999</v>
      </c>
      <c r="D1222" s="32">
        <f>D1211+D1213+D1215+D1217+D1219+D1221</f>
        <v>121</v>
      </c>
      <c r="E1222" s="33">
        <f>E1211+E1213+E1215+E1217+E1219+E1221</f>
        <v>382.94999999999993</v>
      </c>
      <c r="F1222" s="32" t="s">
        <v>433</v>
      </c>
      <c r="G1222" s="32">
        <f>G1211+G1213+G1215+G1217+G1219+G1221</f>
        <v>1</v>
      </c>
      <c r="H1222" s="32">
        <f>H1211+H1213+H1215+H1217+H1219+H1221</f>
        <v>500</v>
      </c>
      <c r="I1222" s="32" t="s">
        <v>472</v>
      </c>
      <c r="J1222" s="32">
        <f>J1211+J1213+J1215+J1217+J1219+J1221</f>
        <v>4</v>
      </c>
      <c r="K1222" s="32">
        <f>K1211+K1213+K1215+K1217+K1219+K1221</f>
        <v>118</v>
      </c>
      <c r="L1222" s="32" t="s">
        <v>433</v>
      </c>
      <c r="M1222" s="32">
        <f aca="true" t="shared" si="188" ref="M1222:X1222">M1211+M1213+M1215+M1217+M1219+M1221</f>
        <v>500</v>
      </c>
      <c r="N1222" s="32">
        <f t="shared" si="188"/>
        <v>1600</v>
      </c>
      <c r="O1222" s="33">
        <f t="shared" si="188"/>
        <v>1087.9891304347825</v>
      </c>
      <c r="P1222" s="32">
        <f t="shared" si="188"/>
        <v>5</v>
      </c>
      <c r="Q1222" s="32">
        <f t="shared" si="188"/>
        <v>1800</v>
      </c>
      <c r="R1222" s="33">
        <f t="shared" si="188"/>
        <v>1455.3813</v>
      </c>
      <c r="S1222" s="33">
        <f t="shared" si="188"/>
        <v>222.72371999999996</v>
      </c>
      <c r="T1222" s="33">
        <f t="shared" si="188"/>
        <v>111.36185999999998</v>
      </c>
      <c r="U1222" s="33">
        <f t="shared" si="188"/>
        <v>111.36185999999998</v>
      </c>
      <c r="V1222" s="33">
        <f t="shared" si="188"/>
        <v>111.36185999999998</v>
      </c>
      <c r="W1222" s="33">
        <f t="shared" si="188"/>
        <v>727</v>
      </c>
      <c r="X1222" s="33">
        <f t="shared" si="188"/>
        <v>171.572</v>
      </c>
      <c r="Y1222" s="4">
        <f t="shared" si="183"/>
        <v>222.72371999999996</v>
      </c>
    </row>
    <row r="1223" spans="1:25" ht="18.75" outlineLevel="2">
      <c r="A1223" s="160">
        <v>1</v>
      </c>
      <c r="B1223" s="158" t="s">
        <v>335</v>
      </c>
      <c r="C1223" s="158"/>
      <c r="D1223" s="158"/>
      <c r="E1223" s="158"/>
      <c r="F1223" s="158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4">
        <f t="shared" si="183"/>
        <v>0</v>
      </c>
    </row>
    <row r="1224" spans="1:25" ht="18" outlineLevel="2">
      <c r="A1224" s="160"/>
      <c r="B1224" s="31">
        <f>D1224+G1224+J1224</f>
        <v>27</v>
      </c>
      <c r="C1224" s="18">
        <f>E1224+H1224+K1224</f>
        <v>86.956875</v>
      </c>
      <c r="D1224" s="31">
        <v>27</v>
      </c>
      <c r="E1224" s="8">
        <f>D1224*FORECAST(D1224,AA$11:AA$12,Z$11:Z$12)</f>
        <v>86.956875</v>
      </c>
      <c r="F1224" s="31" t="s">
        <v>433</v>
      </c>
      <c r="G1224" s="31"/>
      <c r="H1224" s="31"/>
      <c r="I1224" s="31"/>
      <c r="J1224" s="31"/>
      <c r="K1224" s="31"/>
      <c r="L1224" s="31"/>
      <c r="M1224" s="31"/>
      <c r="N1224" s="31">
        <v>900</v>
      </c>
      <c r="O1224" s="8">
        <f>C1224/0.92</f>
        <v>94.51834239130434</v>
      </c>
      <c r="P1224" s="31">
        <v>1</v>
      </c>
      <c r="Q1224" s="31">
        <v>150</v>
      </c>
      <c r="R1224" s="8">
        <f>1.454*C1224</f>
        <v>126.43529625</v>
      </c>
      <c r="S1224" s="9">
        <f>E1224*1.454*0.4</f>
        <v>50.5741185</v>
      </c>
      <c r="T1224" s="9">
        <f>E1224*1.454*0.2</f>
        <v>25.28705925</v>
      </c>
      <c r="U1224" s="9">
        <f>E1224*1.454*0.2</f>
        <v>25.28705925</v>
      </c>
      <c r="V1224" s="9">
        <f>E1224*1.454*0.2</f>
        <v>25.28705925</v>
      </c>
      <c r="W1224" s="9">
        <f>H1224*1.454</f>
        <v>0</v>
      </c>
      <c r="X1224" s="9">
        <f>K1224*1.454</f>
        <v>0</v>
      </c>
      <c r="Y1224" s="4">
        <f t="shared" si="183"/>
        <v>50.5741185</v>
      </c>
    </row>
    <row r="1225" spans="1:25" ht="18.75" outlineLevel="2">
      <c r="A1225" s="160">
        <v>2</v>
      </c>
      <c r="B1225" s="158" t="s">
        <v>336</v>
      </c>
      <c r="C1225" s="158"/>
      <c r="D1225" s="158"/>
      <c r="E1225" s="158"/>
      <c r="F1225" s="158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4">
        <f t="shared" si="183"/>
        <v>0</v>
      </c>
    </row>
    <row r="1226" spans="1:25" ht="18" outlineLevel="2">
      <c r="A1226" s="160"/>
      <c r="B1226" s="18">
        <f>D1226+G1226+J1226</f>
        <v>15</v>
      </c>
      <c r="C1226" s="18">
        <f>E1226+H1226+K1226</f>
        <v>65.1</v>
      </c>
      <c r="D1226" s="31">
        <v>15</v>
      </c>
      <c r="E1226" s="8">
        <f>D1226*FORECAST(D1226,AA$9:AA$10,Z$9:Z$10)</f>
        <v>65.1</v>
      </c>
      <c r="F1226" s="31" t="s">
        <v>433</v>
      </c>
      <c r="G1226" s="31"/>
      <c r="H1226" s="31"/>
      <c r="I1226" s="31"/>
      <c r="J1226" s="31"/>
      <c r="K1226" s="31"/>
      <c r="L1226" s="31"/>
      <c r="M1226" s="31"/>
      <c r="N1226" s="31">
        <v>450</v>
      </c>
      <c r="O1226" s="8">
        <f>C1226/0.92</f>
        <v>70.76086956521738</v>
      </c>
      <c r="P1226" s="31">
        <v>1</v>
      </c>
      <c r="Q1226" s="31">
        <v>100</v>
      </c>
      <c r="R1226" s="8">
        <f>1.454*C1226</f>
        <v>94.65539999999999</v>
      </c>
      <c r="S1226" s="9">
        <f>E1226*1.454*0.4</f>
        <v>37.862159999999996</v>
      </c>
      <c r="T1226" s="9">
        <f>E1226*1.454*0.2</f>
        <v>18.931079999999998</v>
      </c>
      <c r="U1226" s="9">
        <f>E1226*1.454*0.2</f>
        <v>18.931079999999998</v>
      </c>
      <c r="V1226" s="9">
        <f>E1226*1.454*0.2</f>
        <v>18.931079999999998</v>
      </c>
      <c r="W1226" s="9">
        <f>H1226*1.454</f>
        <v>0</v>
      </c>
      <c r="X1226" s="9">
        <f>K1226*1.454</f>
        <v>0</v>
      </c>
      <c r="Y1226" s="4">
        <f t="shared" si="183"/>
        <v>37.862159999999996</v>
      </c>
    </row>
    <row r="1227" spans="1:25" ht="36" outlineLevel="2">
      <c r="A1227" s="6" t="s">
        <v>431</v>
      </c>
      <c r="B1227" s="32">
        <f>B1224+B1226</f>
        <v>42</v>
      </c>
      <c r="C1227" s="33">
        <f>C1224+C1226</f>
        <v>152.056875</v>
      </c>
      <c r="D1227" s="32">
        <f>D1224+D1226</f>
        <v>42</v>
      </c>
      <c r="E1227" s="33">
        <f>E1224+E1226</f>
        <v>152.056875</v>
      </c>
      <c r="F1227" s="32" t="s">
        <v>433</v>
      </c>
      <c r="G1227" s="32">
        <f>G1224+G1226</f>
        <v>0</v>
      </c>
      <c r="H1227" s="32">
        <f>H1224+H1226</f>
        <v>0</v>
      </c>
      <c r="I1227" s="32" t="s">
        <v>441</v>
      </c>
      <c r="J1227" s="32">
        <f>J1224+J1226</f>
        <v>0</v>
      </c>
      <c r="K1227" s="32">
        <f>K1224+K1226</f>
        <v>0</v>
      </c>
      <c r="L1227" s="32" t="s">
        <v>441</v>
      </c>
      <c r="M1227" s="32">
        <f aca="true" t="shared" si="189" ref="M1227:X1227">M1224+M1226</f>
        <v>0</v>
      </c>
      <c r="N1227" s="32">
        <f t="shared" si="189"/>
        <v>1350</v>
      </c>
      <c r="O1227" s="33">
        <f t="shared" si="189"/>
        <v>165.27921195652172</v>
      </c>
      <c r="P1227" s="32">
        <f t="shared" si="189"/>
        <v>2</v>
      </c>
      <c r="Q1227" s="32">
        <f t="shared" si="189"/>
        <v>250</v>
      </c>
      <c r="R1227" s="33">
        <f t="shared" si="189"/>
        <v>221.09069624999998</v>
      </c>
      <c r="S1227" s="33">
        <f t="shared" si="189"/>
        <v>88.43627849999999</v>
      </c>
      <c r="T1227" s="33">
        <f>T1224+T1226</f>
        <v>44.21813924999999</v>
      </c>
      <c r="U1227" s="33">
        <f t="shared" si="189"/>
        <v>44.21813924999999</v>
      </c>
      <c r="V1227" s="33">
        <f t="shared" si="189"/>
        <v>44.21813924999999</v>
      </c>
      <c r="W1227" s="33">
        <f t="shared" si="189"/>
        <v>0</v>
      </c>
      <c r="X1227" s="33">
        <f t="shared" si="189"/>
        <v>0</v>
      </c>
      <c r="Y1227" s="4">
        <f t="shared" si="183"/>
        <v>88.43627849999999</v>
      </c>
    </row>
    <row r="1228" spans="1:25" ht="18.75" outlineLevel="2">
      <c r="A1228" s="160">
        <v>1</v>
      </c>
      <c r="B1228" s="158" t="s">
        <v>641</v>
      </c>
      <c r="C1228" s="158"/>
      <c r="D1228" s="158"/>
      <c r="E1228" s="158"/>
      <c r="F1228" s="158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4">
        <f t="shared" si="183"/>
        <v>0</v>
      </c>
    </row>
    <row r="1229" spans="1:25" ht="18" outlineLevel="2">
      <c r="A1229" s="160"/>
      <c r="B1229" s="36">
        <f>D1229+G1229+J1229</f>
        <v>16</v>
      </c>
      <c r="C1229" s="18">
        <f>E1229+H1229+K1229</f>
        <v>67.19999999999999</v>
      </c>
      <c r="D1229" s="31">
        <v>16</v>
      </c>
      <c r="E1229" s="8">
        <f>D1229*FORECAST(D1229,AA$9:AA$10,Z$9:Z$10)</f>
        <v>67.19999999999999</v>
      </c>
      <c r="F1229" s="31" t="s">
        <v>433</v>
      </c>
      <c r="G1229" s="31"/>
      <c r="H1229" s="31"/>
      <c r="I1229" s="31"/>
      <c r="J1229" s="31"/>
      <c r="K1229" s="31"/>
      <c r="L1229" s="31"/>
      <c r="M1229" s="31"/>
      <c r="N1229" s="31">
        <v>680</v>
      </c>
      <c r="O1229" s="8">
        <f>C1229/0.92</f>
        <v>73.04347826086955</v>
      </c>
      <c r="P1229" s="31">
        <v>1</v>
      </c>
      <c r="Q1229" s="31">
        <v>100</v>
      </c>
      <c r="R1229" s="8">
        <f>1.454*C1229</f>
        <v>97.70879999999998</v>
      </c>
      <c r="S1229" s="9">
        <f>E1229*1.454*0.4</f>
        <v>39.08351999999999</v>
      </c>
      <c r="T1229" s="9">
        <f>E1229*1.454*0.2</f>
        <v>19.541759999999996</v>
      </c>
      <c r="U1229" s="9">
        <f>E1229*1.454*0.2</f>
        <v>19.541759999999996</v>
      </c>
      <c r="V1229" s="9">
        <f>E1229*1.454*0.2</f>
        <v>19.541759999999996</v>
      </c>
      <c r="W1229" s="9">
        <f>H1229*1.454</f>
        <v>0</v>
      </c>
      <c r="X1229" s="9">
        <f>K1229*1.454</f>
        <v>0</v>
      </c>
      <c r="Y1229" s="4">
        <f t="shared" si="183"/>
        <v>39.08351999999999</v>
      </c>
    </row>
    <row r="1230" spans="1:25" ht="18.75" outlineLevel="2">
      <c r="A1230" s="160">
        <v>2</v>
      </c>
      <c r="B1230" s="158" t="s">
        <v>337</v>
      </c>
      <c r="C1230" s="158"/>
      <c r="D1230" s="158"/>
      <c r="E1230" s="158"/>
      <c r="F1230" s="158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4">
        <f t="shared" si="183"/>
        <v>0</v>
      </c>
    </row>
    <row r="1231" spans="1:25" ht="18" outlineLevel="2">
      <c r="A1231" s="160"/>
      <c r="B1231" s="36">
        <f>D1231+G1231+J1231</f>
        <v>60</v>
      </c>
      <c r="C1231" s="18">
        <f>E1231+H1231+K1231</f>
        <v>142.79999999999998</v>
      </c>
      <c r="D1231" s="31">
        <v>60</v>
      </c>
      <c r="E1231" s="8">
        <f>D1231*FORECAST(D1231,AA$12:AA$13,Z$12:Z$13)</f>
        <v>142.79999999999998</v>
      </c>
      <c r="F1231" s="31" t="s">
        <v>433</v>
      </c>
      <c r="G1231" s="31"/>
      <c r="H1231" s="31"/>
      <c r="I1231" s="31"/>
      <c r="J1231" s="31"/>
      <c r="K1231" s="31"/>
      <c r="L1231" s="31"/>
      <c r="M1231" s="31"/>
      <c r="N1231" s="31">
        <v>1000</v>
      </c>
      <c r="O1231" s="8">
        <f>C1231/0.92</f>
        <v>155.2173913043478</v>
      </c>
      <c r="P1231" s="31">
        <v>2</v>
      </c>
      <c r="Q1231" s="31">
        <f>300</f>
        <v>300</v>
      </c>
      <c r="R1231" s="8">
        <f>1.454*C1231</f>
        <v>207.63119999999998</v>
      </c>
      <c r="S1231" s="9">
        <f>E1231*1.454*0.4</f>
        <v>83.05248</v>
      </c>
      <c r="T1231" s="9">
        <f>E1231*1.454*0.2</f>
        <v>41.52624</v>
      </c>
      <c r="U1231" s="9">
        <f>E1231*1.454*0.2</f>
        <v>41.52624</v>
      </c>
      <c r="V1231" s="9">
        <f>E1231*1.454*0.2</f>
        <v>41.52624</v>
      </c>
      <c r="W1231" s="9">
        <f>H1231*1.454</f>
        <v>0</v>
      </c>
      <c r="X1231" s="9">
        <f>K1231*1.454</f>
        <v>0</v>
      </c>
      <c r="Y1231" s="4">
        <f t="shared" si="183"/>
        <v>83.05248</v>
      </c>
    </row>
    <row r="1232" spans="1:25" ht="18.75" outlineLevel="2">
      <c r="A1232" s="160">
        <v>3</v>
      </c>
      <c r="B1232" s="158" t="s">
        <v>338</v>
      </c>
      <c r="C1232" s="158"/>
      <c r="D1232" s="158"/>
      <c r="E1232" s="158"/>
      <c r="F1232" s="158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4">
        <f t="shared" si="183"/>
        <v>0</v>
      </c>
    </row>
    <row r="1233" spans="1:25" ht="18" outlineLevel="2">
      <c r="A1233" s="160"/>
      <c r="B1233" s="36">
        <f>D1233+G1233+J1233</f>
        <v>12</v>
      </c>
      <c r="C1233" s="18">
        <f>E1233+H1233+K1233</f>
        <v>59.52000000000001</v>
      </c>
      <c r="D1233" s="31">
        <v>12</v>
      </c>
      <c r="E1233" s="8">
        <f>D1233*FORECAST(D1233,AA$8:AA$9,Z$8:Z$9)</f>
        <v>59.52000000000001</v>
      </c>
      <c r="F1233" s="31" t="s">
        <v>433</v>
      </c>
      <c r="G1233" s="31"/>
      <c r="H1233" s="31"/>
      <c r="I1233" s="31"/>
      <c r="J1233" s="31"/>
      <c r="K1233" s="31"/>
      <c r="L1233" s="31"/>
      <c r="M1233" s="31"/>
      <c r="N1233" s="31">
        <v>450</v>
      </c>
      <c r="O1233" s="8">
        <f>C1233/0.92</f>
        <v>64.69565217391305</v>
      </c>
      <c r="P1233" s="31">
        <v>1</v>
      </c>
      <c r="Q1233" s="31">
        <v>100</v>
      </c>
      <c r="R1233" s="8">
        <f>1.454*C1233</f>
        <v>86.54208000000001</v>
      </c>
      <c r="S1233" s="9">
        <f>E1233*1.454*0.4</f>
        <v>34.61683200000001</v>
      </c>
      <c r="T1233" s="9">
        <f>E1233*1.454*0.2</f>
        <v>17.308416000000005</v>
      </c>
      <c r="U1233" s="9">
        <f>E1233*1.454*0.2</f>
        <v>17.308416000000005</v>
      </c>
      <c r="V1233" s="9">
        <f>E1233*1.454*0.2</f>
        <v>17.308416000000005</v>
      </c>
      <c r="W1233" s="9">
        <f>H1233*1.454</f>
        <v>0</v>
      </c>
      <c r="X1233" s="9">
        <f>K1233*1.454</f>
        <v>0</v>
      </c>
      <c r="Y1233" s="4">
        <f t="shared" si="183"/>
        <v>34.61683200000001</v>
      </c>
    </row>
    <row r="1234" spans="1:25" ht="36" outlineLevel="2">
      <c r="A1234" s="6" t="s">
        <v>431</v>
      </c>
      <c r="B1234" s="32">
        <f>B1229+B1231+B1233</f>
        <v>88</v>
      </c>
      <c r="C1234" s="33">
        <f>C1229+C1231+C1233</f>
        <v>269.52</v>
      </c>
      <c r="D1234" s="32">
        <f>D1229+D1231+D1233</f>
        <v>88</v>
      </c>
      <c r="E1234" s="33">
        <f>E1229+E1231+E1233</f>
        <v>269.52</v>
      </c>
      <c r="F1234" s="32" t="s">
        <v>433</v>
      </c>
      <c r="G1234" s="32">
        <f>G1229+G1231+G1233</f>
        <v>0</v>
      </c>
      <c r="H1234" s="32">
        <f>H1229+H1231+H1233</f>
        <v>0</v>
      </c>
      <c r="I1234" s="32" t="s">
        <v>441</v>
      </c>
      <c r="J1234" s="32">
        <f>J1229+J1231+J1233</f>
        <v>0</v>
      </c>
      <c r="K1234" s="32">
        <f>K1229+K1231+K1233</f>
        <v>0</v>
      </c>
      <c r="L1234" s="32" t="s">
        <v>441</v>
      </c>
      <c r="M1234" s="32">
        <f aca="true" t="shared" si="190" ref="M1234:X1234">M1229+M1231+M1233</f>
        <v>0</v>
      </c>
      <c r="N1234" s="32">
        <f t="shared" si="190"/>
        <v>2130</v>
      </c>
      <c r="O1234" s="33">
        <f t="shared" si="190"/>
        <v>292.95652173913044</v>
      </c>
      <c r="P1234" s="32">
        <f t="shared" si="190"/>
        <v>4</v>
      </c>
      <c r="Q1234" s="32">
        <f t="shared" si="190"/>
        <v>500</v>
      </c>
      <c r="R1234" s="33">
        <f t="shared" si="190"/>
        <v>391.88208</v>
      </c>
      <c r="S1234" s="33">
        <f t="shared" si="190"/>
        <v>156.752832</v>
      </c>
      <c r="T1234" s="33">
        <f t="shared" si="190"/>
        <v>78.376416</v>
      </c>
      <c r="U1234" s="33">
        <f t="shared" si="190"/>
        <v>78.376416</v>
      </c>
      <c r="V1234" s="33">
        <f t="shared" si="190"/>
        <v>78.376416</v>
      </c>
      <c r="W1234" s="33">
        <f t="shared" si="190"/>
        <v>0</v>
      </c>
      <c r="X1234" s="33">
        <f t="shared" si="190"/>
        <v>0</v>
      </c>
      <c r="Y1234" s="4">
        <f t="shared" si="183"/>
        <v>156.752832</v>
      </c>
    </row>
    <row r="1235" spans="1:25" ht="18.75" outlineLevel="2">
      <c r="A1235" s="160">
        <v>1</v>
      </c>
      <c r="B1235" s="158" t="s">
        <v>642</v>
      </c>
      <c r="C1235" s="158"/>
      <c r="D1235" s="158"/>
      <c r="E1235" s="158"/>
      <c r="F1235" s="158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4">
        <f t="shared" si="183"/>
        <v>0</v>
      </c>
    </row>
    <row r="1236" spans="1:25" ht="18" outlineLevel="2">
      <c r="A1236" s="160"/>
      <c r="B1236" s="36">
        <f>D1236+G1236+J1236</f>
        <v>45</v>
      </c>
      <c r="C1236" s="18">
        <f>E1236+H1236+K1236</f>
        <v>116.55</v>
      </c>
      <c r="D1236" s="31">
        <v>45</v>
      </c>
      <c r="E1236" s="8">
        <f>D1236*FORECAST(D1236,AA$12:AA$13,Z$12:Z$13)</f>
        <v>116.55</v>
      </c>
      <c r="F1236" s="31" t="s">
        <v>433</v>
      </c>
      <c r="G1236" s="31"/>
      <c r="H1236" s="31"/>
      <c r="I1236" s="31"/>
      <c r="J1236" s="31"/>
      <c r="K1236" s="31"/>
      <c r="L1236" s="31"/>
      <c r="M1236" s="31"/>
      <c r="N1236" s="31">
        <v>1500</v>
      </c>
      <c r="O1236" s="8">
        <f>C1236/0.92</f>
        <v>126.68478260869564</v>
      </c>
      <c r="P1236" s="31">
        <v>1</v>
      </c>
      <c r="Q1236" s="31">
        <v>250</v>
      </c>
      <c r="R1236" s="8">
        <f>1.454*C1236</f>
        <v>169.4637</v>
      </c>
      <c r="S1236" s="9">
        <f>E1236*1.454*0.4</f>
        <v>67.78547999999999</v>
      </c>
      <c r="T1236" s="9">
        <f>E1236*1.454*0.2</f>
        <v>33.892739999999996</v>
      </c>
      <c r="U1236" s="9">
        <f>E1236*1.454*0.2</f>
        <v>33.892739999999996</v>
      </c>
      <c r="V1236" s="9">
        <f>E1236*1.454*0.2</f>
        <v>33.892739999999996</v>
      </c>
      <c r="W1236" s="9">
        <f>H1236*1.454</f>
        <v>0</v>
      </c>
      <c r="X1236" s="9">
        <f>K1236*1.454</f>
        <v>0</v>
      </c>
      <c r="Y1236" s="4">
        <f t="shared" si="183"/>
        <v>67.78547999999999</v>
      </c>
    </row>
    <row r="1237" spans="1:25" ht="18.75" outlineLevel="2">
      <c r="A1237" s="160">
        <v>1</v>
      </c>
      <c r="B1237" s="158" t="s">
        <v>643</v>
      </c>
      <c r="C1237" s="158"/>
      <c r="D1237" s="158"/>
      <c r="E1237" s="158"/>
      <c r="F1237" s="158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4">
        <f t="shared" si="183"/>
        <v>0</v>
      </c>
    </row>
    <row r="1238" spans="1:25" ht="18" outlineLevel="2">
      <c r="A1238" s="160"/>
      <c r="B1238" s="36">
        <f>D1238+G1238+J1238</f>
        <v>80</v>
      </c>
      <c r="C1238" s="18">
        <f>E1238+H1238+K1238</f>
        <v>181.6</v>
      </c>
      <c r="D1238" s="31">
        <v>80</v>
      </c>
      <c r="E1238" s="8">
        <f>D1238*FORECAST(D1238,AA$13:AA$14,Z$13:Z$14)</f>
        <v>181.6</v>
      </c>
      <c r="F1238" s="31" t="s">
        <v>433</v>
      </c>
      <c r="G1238" s="31"/>
      <c r="H1238" s="31"/>
      <c r="I1238" s="31"/>
      <c r="J1238" s="31"/>
      <c r="K1238" s="31"/>
      <c r="L1238" s="31"/>
      <c r="M1238" s="31"/>
      <c r="N1238" s="31">
        <v>1300</v>
      </c>
      <c r="O1238" s="8">
        <f>C1238/0.92</f>
        <v>197.39130434782606</v>
      </c>
      <c r="P1238" s="31">
        <v>1</v>
      </c>
      <c r="Q1238" s="31">
        <v>500</v>
      </c>
      <c r="R1238" s="8">
        <f>1.454*C1238</f>
        <v>264.0464</v>
      </c>
      <c r="S1238" s="9">
        <f>E1238*1.454*0.4</f>
        <v>105.61856</v>
      </c>
      <c r="T1238" s="9">
        <f>E1238*1.454*0.2</f>
        <v>52.80928</v>
      </c>
      <c r="U1238" s="9">
        <f>E1238*1.454*0.2</f>
        <v>52.80928</v>
      </c>
      <c r="V1238" s="9">
        <f>E1238*1.454*0.2</f>
        <v>52.80928</v>
      </c>
      <c r="W1238" s="9">
        <f>H1238*1.454</f>
        <v>0</v>
      </c>
      <c r="X1238" s="9">
        <f>K1238*1.454</f>
        <v>0</v>
      </c>
      <c r="Y1238" s="4">
        <f t="shared" si="183"/>
        <v>105.61856</v>
      </c>
    </row>
    <row r="1239" spans="1:25" ht="18.75" outlineLevel="2">
      <c r="A1239" s="160">
        <v>1</v>
      </c>
      <c r="B1239" s="158" t="s">
        <v>339</v>
      </c>
      <c r="C1239" s="158"/>
      <c r="D1239" s="158"/>
      <c r="E1239" s="158"/>
      <c r="F1239" s="158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4">
        <f t="shared" si="183"/>
        <v>0</v>
      </c>
    </row>
    <row r="1240" spans="1:25" ht="18" outlineLevel="2">
      <c r="A1240" s="160"/>
      <c r="B1240" s="36">
        <f>D1240+G1240+J1240</f>
        <v>28</v>
      </c>
      <c r="C1240" s="18">
        <f>E1240+H1240+K1240</f>
        <v>88.97</v>
      </c>
      <c r="D1240" s="31">
        <v>28</v>
      </c>
      <c r="E1240" s="8">
        <f>D1240*FORECAST(D1240,AA$11:AA$12,Z$11:Z$12)</f>
        <v>88.97</v>
      </c>
      <c r="F1240" s="31" t="s">
        <v>433</v>
      </c>
      <c r="G1240" s="31"/>
      <c r="H1240" s="31"/>
      <c r="I1240" s="31"/>
      <c r="J1240" s="31"/>
      <c r="K1240" s="31"/>
      <c r="L1240" s="31"/>
      <c r="M1240" s="31"/>
      <c r="N1240" s="31">
        <v>900</v>
      </c>
      <c r="O1240" s="8">
        <f>C1240/0.92</f>
        <v>96.70652173913042</v>
      </c>
      <c r="P1240" s="31">
        <v>1</v>
      </c>
      <c r="Q1240" s="31">
        <v>150</v>
      </c>
      <c r="R1240" s="8">
        <f>1.454*C1240</f>
        <v>129.36238</v>
      </c>
      <c r="S1240" s="9">
        <f>E1240*1.454*0.4</f>
        <v>51.744952000000005</v>
      </c>
      <c r="T1240" s="9">
        <f>E1240*1.454*0.2</f>
        <v>25.872476000000002</v>
      </c>
      <c r="U1240" s="9">
        <f>E1240*1.454*0.2</f>
        <v>25.872476000000002</v>
      </c>
      <c r="V1240" s="9">
        <f>E1240*1.454*0.2</f>
        <v>25.872476000000002</v>
      </c>
      <c r="W1240" s="9">
        <f>H1240*1.454</f>
        <v>0</v>
      </c>
      <c r="X1240" s="9">
        <f>K1240*1.454</f>
        <v>0</v>
      </c>
      <c r="Y1240" s="4">
        <f t="shared" si="183"/>
        <v>51.744952000000005</v>
      </c>
    </row>
    <row r="1241" spans="1:25" ht="15" customHeight="1" outlineLevel="2">
      <c r="A1241" s="160">
        <v>1</v>
      </c>
      <c r="B1241" s="158" t="s">
        <v>644</v>
      </c>
      <c r="C1241" s="158"/>
      <c r="D1241" s="158"/>
      <c r="E1241" s="158"/>
      <c r="F1241" s="158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4">
        <f t="shared" si="183"/>
        <v>0</v>
      </c>
    </row>
    <row r="1242" spans="1:25" ht="18" outlineLevel="2">
      <c r="A1242" s="160"/>
      <c r="B1242" s="36">
        <f>D1242+G1242+J1242</f>
        <v>15</v>
      </c>
      <c r="C1242" s="18">
        <f>E1242+H1242+K1242</f>
        <v>65.10000000000001</v>
      </c>
      <c r="D1242" s="31">
        <v>15</v>
      </c>
      <c r="E1242" s="8">
        <f>D1242*FORECAST(D1242,AA$8:AA$9,Z$8:Z$9)</f>
        <v>65.10000000000001</v>
      </c>
      <c r="F1242" s="31" t="s">
        <v>433</v>
      </c>
      <c r="G1242" s="31"/>
      <c r="H1242" s="31"/>
      <c r="I1242" s="31"/>
      <c r="J1242" s="31"/>
      <c r="K1242" s="31"/>
      <c r="L1242" s="31"/>
      <c r="M1242" s="31"/>
      <c r="N1242" s="31">
        <v>450</v>
      </c>
      <c r="O1242" s="8">
        <f>C1242/0.92</f>
        <v>70.76086956521739</v>
      </c>
      <c r="P1242" s="31">
        <v>1</v>
      </c>
      <c r="Q1242" s="31">
        <v>100</v>
      </c>
      <c r="R1242" s="8">
        <f>1.454*C1242</f>
        <v>94.65540000000001</v>
      </c>
      <c r="S1242" s="9">
        <f>E1242*1.454*0.4</f>
        <v>37.86216000000001</v>
      </c>
      <c r="T1242" s="9">
        <f>E1242*1.454*0.2</f>
        <v>18.931080000000005</v>
      </c>
      <c r="U1242" s="9">
        <f>E1242*1.454*0.2</f>
        <v>18.931080000000005</v>
      </c>
      <c r="V1242" s="9">
        <f>E1242*1.454*0.2</f>
        <v>18.931080000000005</v>
      </c>
      <c r="W1242" s="9">
        <f>H1242*1.454</f>
        <v>0</v>
      </c>
      <c r="X1242" s="9">
        <f>K1242*1.454</f>
        <v>0</v>
      </c>
      <c r="Y1242" s="4">
        <f t="shared" si="183"/>
        <v>37.86216000000001</v>
      </c>
    </row>
    <row r="1243" spans="1:25" ht="15" customHeight="1" outlineLevel="2">
      <c r="A1243" s="160">
        <v>1</v>
      </c>
      <c r="B1243" s="158" t="s">
        <v>340</v>
      </c>
      <c r="C1243" s="158"/>
      <c r="D1243" s="158"/>
      <c r="E1243" s="158"/>
      <c r="F1243" s="158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4">
        <f t="shared" si="183"/>
        <v>0</v>
      </c>
    </row>
    <row r="1244" spans="1:25" ht="18" outlineLevel="2">
      <c r="A1244" s="160"/>
      <c r="B1244" s="36">
        <f>D1244+G1244+J1244</f>
        <v>10</v>
      </c>
      <c r="C1244" s="18">
        <f>E1244+H1244+K1244</f>
        <v>55.26666666666667</v>
      </c>
      <c r="D1244" s="31">
        <v>10</v>
      </c>
      <c r="E1244" s="8">
        <f>D1244*FORECAST(D1244,AA$7:AA$8,Z$7:Z$8)</f>
        <v>55.26666666666667</v>
      </c>
      <c r="F1244" s="31" t="s">
        <v>433</v>
      </c>
      <c r="G1244" s="31"/>
      <c r="H1244" s="31"/>
      <c r="I1244" s="31"/>
      <c r="J1244" s="31"/>
      <c r="K1244" s="31"/>
      <c r="L1244" s="31"/>
      <c r="M1244" s="31"/>
      <c r="N1244" s="31">
        <v>300</v>
      </c>
      <c r="O1244" s="8">
        <f>C1244/0.92</f>
        <v>60.072463768115945</v>
      </c>
      <c r="P1244" s="31">
        <v>1</v>
      </c>
      <c r="Q1244" s="31">
        <v>100</v>
      </c>
      <c r="R1244" s="8">
        <f>1.454*C1244</f>
        <v>80.35773333333334</v>
      </c>
      <c r="S1244" s="9">
        <f>E1244*1.454*0.4</f>
        <v>32.14309333333334</v>
      </c>
      <c r="T1244" s="9">
        <f>E1244*1.454*0.2</f>
        <v>16.07154666666667</v>
      </c>
      <c r="U1244" s="9">
        <f>E1244*1.454*0.2</f>
        <v>16.07154666666667</v>
      </c>
      <c r="V1244" s="9">
        <f>E1244*1.454*0.2</f>
        <v>16.07154666666667</v>
      </c>
      <c r="W1244" s="9">
        <f>H1244*1.454</f>
        <v>0</v>
      </c>
      <c r="X1244" s="9">
        <f>K1244*1.454</f>
        <v>0</v>
      </c>
      <c r="Y1244" s="4">
        <f t="shared" si="183"/>
        <v>32.14309333333334</v>
      </c>
    </row>
    <row r="1245" spans="1:25" ht="18.75" outlineLevel="2">
      <c r="A1245" s="160">
        <v>1</v>
      </c>
      <c r="B1245" s="158" t="s">
        <v>341</v>
      </c>
      <c r="C1245" s="158"/>
      <c r="D1245" s="158"/>
      <c r="E1245" s="158"/>
      <c r="F1245" s="158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4">
        <f t="shared" si="183"/>
        <v>0</v>
      </c>
    </row>
    <row r="1246" spans="1:25" ht="18" outlineLevel="2">
      <c r="A1246" s="160"/>
      <c r="B1246" s="36">
        <f>D1246+G1246+J1246</f>
        <v>10</v>
      </c>
      <c r="C1246" s="18">
        <f>E1246+H1246+K1246</f>
        <v>55.26666666666667</v>
      </c>
      <c r="D1246" s="31">
        <v>10</v>
      </c>
      <c r="E1246" s="8">
        <f>D1246*FORECAST(D1246,AA$7:AA$8,Z$7:Z$8)</f>
        <v>55.26666666666667</v>
      </c>
      <c r="F1246" s="31" t="s">
        <v>433</v>
      </c>
      <c r="G1246" s="31"/>
      <c r="H1246" s="31"/>
      <c r="I1246" s="31"/>
      <c r="J1246" s="31"/>
      <c r="K1246" s="31"/>
      <c r="L1246" s="31"/>
      <c r="M1246" s="31"/>
      <c r="N1246" s="31">
        <v>300</v>
      </c>
      <c r="O1246" s="8">
        <f>C1246/0.92</f>
        <v>60.072463768115945</v>
      </c>
      <c r="P1246" s="31">
        <v>1</v>
      </c>
      <c r="Q1246" s="31">
        <v>100</v>
      </c>
      <c r="R1246" s="8">
        <f>1.454*C1246</f>
        <v>80.35773333333334</v>
      </c>
      <c r="S1246" s="9">
        <f>E1246*1.454*0.4</f>
        <v>32.14309333333334</v>
      </c>
      <c r="T1246" s="9">
        <f>E1246*1.454*0.2</f>
        <v>16.07154666666667</v>
      </c>
      <c r="U1246" s="9">
        <f>E1246*1.454*0.2</f>
        <v>16.07154666666667</v>
      </c>
      <c r="V1246" s="9">
        <f>E1246*1.454*0.2</f>
        <v>16.07154666666667</v>
      </c>
      <c r="W1246" s="9">
        <f>H1246*1.454</f>
        <v>0</v>
      </c>
      <c r="X1246" s="9">
        <f>K1246*1.454</f>
        <v>0</v>
      </c>
      <c r="Y1246" s="4">
        <f t="shared" si="183"/>
        <v>32.14309333333334</v>
      </c>
    </row>
    <row r="1247" spans="1:25" ht="18.75" outlineLevel="2">
      <c r="A1247" s="160">
        <v>1</v>
      </c>
      <c r="B1247" s="158" t="s">
        <v>342</v>
      </c>
      <c r="C1247" s="158"/>
      <c r="D1247" s="158"/>
      <c r="E1247" s="158"/>
      <c r="F1247" s="158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4">
        <f t="shared" si="183"/>
        <v>0</v>
      </c>
    </row>
    <row r="1248" spans="1:25" ht="18" outlineLevel="2">
      <c r="A1248" s="160"/>
      <c r="B1248" s="36">
        <f>D1248+G1248+J1248</f>
        <v>15</v>
      </c>
      <c r="C1248" s="18">
        <f>E1248+H1248+K1248</f>
        <v>65.10000000000001</v>
      </c>
      <c r="D1248" s="31">
        <v>15</v>
      </c>
      <c r="E1248" s="8">
        <f>D1248*FORECAST(D1248,AA$8:AA$9,Z$8:Z$9)</f>
        <v>65.10000000000001</v>
      </c>
      <c r="F1248" s="31" t="s">
        <v>433</v>
      </c>
      <c r="G1248" s="31"/>
      <c r="H1248" s="31"/>
      <c r="I1248" s="31"/>
      <c r="J1248" s="31"/>
      <c r="K1248" s="31"/>
      <c r="L1248" s="31"/>
      <c r="M1248" s="31"/>
      <c r="N1248" s="31">
        <v>450</v>
      </c>
      <c r="O1248" s="8">
        <f>C1248/0.92</f>
        <v>70.76086956521739</v>
      </c>
      <c r="P1248" s="31">
        <v>1</v>
      </c>
      <c r="Q1248" s="31">
        <v>100</v>
      </c>
      <c r="R1248" s="8">
        <f>1.454*C1248</f>
        <v>94.65540000000001</v>
      </c>
      <c r="S1248" s="9">
        <f>E1248*1.454*0.4</f>
        <v>37.86216000000001</v>
      </c>
      <c r="T1248" s="9">
        <f>E1248*1.454*0.2</f>
        <v>18.931080000000005</v>
      </c>
      <c r="U1248" s="9">
        <f>E1248*1.454*0.2</f>
        <v>18.931080000000005</v>
      </c>
      <c r="V1248" s="9">
        <f>E1248*1.454*0.2</f>
        <v>18.931080000000005</v>
      </c>
      <c r="W1248" s="9">
        <f>H1248*1.454</f>
        <v>0</v>
      </c>
      <c r="X1248" s="9">
        <f>K1248*1.454</f>
        <v>0</v>
      </c>
      <c r="Y1248" s="4">
        <f t="shared" si="183"/>
        <v>37.86216000000001</v>
      </c>
    </row>
    <row r="1249" spans="1:25" ht="18.75" outlineLevel="2">
      <c r="A1249" s="160">
        <v>1</v>
      </c>
      <c r="B1249" s="158" t="s">
        <v>645</v>
      </c>
      <c r="C1249" s="158"/>
      <c r="D1249" s="158"/>
      <c r="E1249" s="158"/>
      <c r="F1249" s="158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4">
        <f t="shared" si="183"/>
        <v>0</v>
      </c>
    </row>
    <row r="1250" spans="1:25" ht="18" outlineLevel="2">
      <c r="A1250" s="160"/>
      <c r="B1250" s="36">
        <f>D1250+G1250+J1250</f>
        <v>15</v>
      </c>
      <c r="C1250" s="18">
        <f>E1250+H1250+K1250</f>
        <v>65.10000000000001</v>
      </c>
      <c r="D1250" s="31">
        <v>15</v>
      </c>
      <c r="E1250" s="8">
        <f>D1250*FORECAST(D1250,AA$8:AA$9,Z$8:Z$9)</f>
        <v>65.10000000000001</v>
      </c>
      <c r="F1250" s="31" t="s">
        <v>433</v>
      </c>
      <c r="G1250" s="31"/>
      <c r="H1250" s="31"/>
      <c r="I1250" s="31"/>
      <c r="J1250" s="31"/>
      <c r="K1250" s="31"/>
      <c r="L1250" s="31"/>
      <c r="M1250" s="31"/>
      <c r="N1250" s="31">
        <v>450</v>
      </c>
      <c r="O1250" s="8">
        <f>C1250/0.92</f>
        <v>70.76086956521739</v>
      </c>
      <c r="P1250" s="31">
        <v>1</v>
      </c>
      <c r="Q1250" s="31">
        <v>100</v>
      </c>
      <c r="R1250" s="8">
        <f>1.454*C1250</f>
        <v>94.65540000000001</v>
      </c>
      <c r="S1250" s="9">
        <f>E1250*1.454*0.4</f>
        <v>37.86216000000001</v>
      </c>
      <c r="T1250" s="9">
        <f>E1250*1.454*0.2</f>
        <v>18.931080000000005</v>
      </c>
      <c r="U1250" s="9">
        <f>E1250*1.454*0.2</f>
        <v>18.931080000000005</v>
      </c>
      <c r="V1250" s="9">
        <f>E1250*1.454*0.2</f>
        <v>18.931080000000005</v>
      </c>
      <c r="W1250" s="9">
        <f>H1250*1.454</f>
        <v>0</v>
      </c>
      <c r="X1250" s="9">
        <f>K1250*1.454</f>
        <v>0</v>
      </c>
      <c r="Y1250" s="4">
        <f t="shared" si="183"/>
        <v>37.86216000000001</v>
      </c>
    </row>
    <row r="1251" spans="1:25" ht="18.75" outlineLevel="2">
      <c r="A1251" s="160">
        <v>1</v>
      </c>
      <c r="B1251" s="158" t="s">
        <v>646</v>
      </c>
      <c r="C1251" s="158"/>
      <c r="D1251" s="158"/>
      <c r="E1251" s="158"/>
      <c r="F1251" s="158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4">
        <f t="shared" si="183"/>
        <v>0</v>
      </c>
    </row>
    <row r="1252" spans="1:25" ht="18" outlineLevel="2">
      <c r="A1252" s="160"/>
      <c r="B1252" s="36">
        <f>D1252+G1252+J1252</f>
        <v>50</v>
      </c>
      <c r="C1252" s="18">
        <f>E1252+H1252+K1252</f>
        <v>126</v>
      </c>
      <c r="D1252" s="31">
        <v>50</v>
      </c>
      <c r="E1252" s="8">
        <f>D1252*FORECAST(D1252,AA$12:AA$13,Z$12:Z$13)</f>
        <v>126</v>
      </c>
      <c r="F1252" s="31" t="s">
        <v>433</v>
      </c>
      <c r="G1252" s="31"/>
      <c r="H1252" s="31"/>
      <c r="I1252" s="31"/>
      <c r="J1252" s="31"/>
      <c r="K1252" s="31"/>
      <c r="L1252" s="31"/>
      <c r="M1252" s="31"/>
      <c r="N1252" s="31">
        <v>1500</v>
      </c>
      <c r="O1252" s="8">
        <f>C1252/0.92</f>
        <v>136.95652173913044</v>
      </c>
      <c r="P1252" s="31">
        <v>1</v>
      </c>
      <c r="Q1252" s="31">
        <v>250</v>
      </c>
      <c r="R1252" s="8">
        <f>1.454*C1252</f>
        <v>183.204</v>
      </c>
      <c r="S1252" s="9">
        <f>E1252*1.454*0.4</f>
        <v>73.28160000000001</v>
      </c>
      <c r="T1252" s="9">
        <f>E1252*1.454*0.2</f>
        <v>36.640800000000006</v>
      </c>
      <c r="U1252" s="9">
        <f>E1252*1.454*0.2</f>
        <v>36.640800000000006</v>
      </c>
      <c r="V1252" s="9">
        <f>E1252*1.454*0.2</f>
        <v>36.640800000000006</v>
      </c>
      <c r="W1252" s="9">
        <f>H1252*1.454</f>
        <v>0</v>
      </c>
      <c r="X1252" s="9">
        <f>K1252*1.454</f>
        <v>0</v>
      </c>
      <c r="Y1252" s="4">
        <f t="shared" si="183"/>
        <v>73.28160000000001</v>
      </c>
    </row>
    <row r="1253" spans="1:25" ht="18.75" outlineLevel="2">
      <c r="A1253" s="160">
        <v>1</v>
      </c>
      <c r="B1253" s="158" t="s">
        <v>58</v>
      </c>
      <c r="C1253" s="158"/>
      <c r="D1253" s="158"/>
      <c r="E1253" s="158"/>
      <c r="F1253" s="158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4">
        <f aca="true" t="shared" si="191" ref="Y1253:Y1315">U1253*2</f>
        <v>0</v>
      </c>
    </row>
    <row r="1254" spans="1:25" ht="18" outlineLevel="2">
      <c r="A1254" s="160"/>
      <c r="B1254" s="36">
        <f>D1254+G1254+J1254</f>
        <v>20</v>
      </c>
      <c r="C1254" s="18">
        <f>E1254+H1254+K1254</f>
        <v>74.6</v>
      </c>
      <c r="D1254" s="31">
        <v>20</v>
      </c>
      <c r="E1254" s="8">
        <f>D1254*FORECAST(D1254,AA$10:AA$11,Z$10:Z$11)</f>
        <v>74.6</v>
      </c>
      <c r="F1254" s="31" t="s">
        <v>433</v>
      </c>
      <c r="G1254" s="31"/>
      <c r="H1254" s="31"/>
      <c r="I1254" s="31"/>
      <c r="J1254" s="31"/>
      <c r="K1254" s="31"/>
      <c r="L1254" s="31"/>
      <c r="M1254" s="31"/>
      <c r="N1254" s="31">
        <v>600</v>
      </c>
      <c r="O1254" s="8">
        <f>C1254/0.92</f>
        <v>81.08695652173913</v>
      </c>
      <c r="P1254" s="31">
        <v>1</v>
      </c>
      <c r="Q1254" s="31">
        <v>150</v>
      </c>
      <c r="R1254" s="8">
        <f>1.454*C1254</f>
        <v>108.46839999999999</v>
      </c>
      <c r="S1254" s="9">
        <f>E1254*1.454*0.4</f>
        <v>43.38736</v>
      </c>
      <c r="T1254" s="9">
        <f>E1254*1.454*0.2</f>
        <v>21.69368</v>
      </c>
      <c r="U1254" s="9">
        <f>E1254*1.454*0.2</f>
        <v>21.69368</v>
      </c>
      <c r="V1254" s="9">
        <f>E1254*1.454*0.2</f>
        <v>21.69368</v>
      </c>
      <c r="W1254" s="9">
        <f>H1254*1.454</f>
        <v>0</v>
      </c>
      <c r="X1254" s="9">
        <f>K1254*1.454</f>
        <v>0</v>
      </c>
      <c r="Y1254" s="4">
        <f t="shared" si="191"/>
        <v>43.38736</v>
      </c>
    </row>
    <row r="1255" spans="1:25" ht="18.75" outlineLevel="2">
      <c r="A1255" s="160">
        <v>1</v>
      </c>
      <c r="B1255" s="158" t="s">
        <v>59</v>
      </c>
      <c r="C1255" s="158"/>
      <c r="D1255" s="158"/>
      <c r="E1255" s="158"/>
      <c r="F1255" s="158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4">
        <f t="shared" si="191"/>
        <v>0</v>
      </c>
    </row>
    <row r="1256" spans="1:25" ht="18" outlineLevel="2">
      <c r="A1256" s="160"/>
      <c r="B1256" s="36">
        <f>D1256+G1256+J1256</f>
        <v>20</v>
      </c>
      <c r="C1256" s="18">
        <f>E1256+H1256+K1256</f>
        <v>74.6</v>
      </c>
      <c r="D1256" s="31">
        <v>20</v>
      </c>
      <c r="E1256" s="8">
        <f>D1256*FORECAST(D1256,AA$10:AA$11,Z$10:Z$11)</f>
        <v>74.6</v>
      </c>
      <c r="F1256" s="31" t="s">
        <v>433</v>
      </c>
      <c r="G1256" s="31"/>
      <c r="H1256" s="31"/>
      <c r="I1256" s="31"/>
      <c r="J1256" s="31"/>
      <c r="K1256" s="31"/>
      <c r="L1256" s="31"/>
      <c r="M1256" s="31"/>
      <c r="N1256" s="31">
        <v>600</v>
      </c>
      <c r="O1256" s="8">
        <f>C1256/0.92</f>
        <v>81.08695652173913</v>
      </c>
      <c r="P1256" s="31">
        <v>1</v>
      </c>
      <c r="Q1256" s="31">
        <v>150</v>
      </c>
      <c r="R1256" s="8">
        <f>1.454*C1256</f>
        <v>108.46839999999999</v>
      </c>
      <c r="S1256" s="9">
        <f>E1256*1.454*0.4</f>
        <v>43.38736</v>
      </c>
      <c r="T1256" s="9">
        <f>E1256*1.454*0.2</f>
        <v>21.69368</v>
      </c>
      <c r="U1256" s="9">
        <f>E1256*1.454*0.2</f>
        <v>21.69368</v>
      </c>
      <c r="V1256" s="9">
        <f>E1256*1.454*0.2</f>
        <v>21.69368</v>
      </c>
      <c r="W1256" s="9">
        <f>H1256*1.454</f>
        <v>0</v>
      </c>
      <c r="X1256" s="9">
        <f>K1256*1.454</f>
        <v>0</v>
      </c>
      <c r="Y1256" s="4">
        <f t="shared" si="191"/>
        <v>43.38736</v>
      </c>
    </row>
    <row r="1257" spans="1:25" ht="18.75" outlineLevel="2">
      <c r="A1257" s="160">
        <v>1</v>
      </c>
      <c r="B1257" s="158" t="s">
        <v>680</v>
      </c>
      <c r="C1257" s="158"/>
      <c r="D1257" s="158"/>
      <c r="E1257" s="158"/>
      <c r="F1257" s="158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4">
        <f t="shared" si="191"/>
        <v>0</v>
      </c>
    </row>
    <row r="1258" spans="1:25" ht="18" outlineLevel="2">
      <c r="A1258" s="160"/>
      <c r="B1258" s="36">
        <f>D1258+G1258+J1258</f>
        <v>20</v>
      </c>
      <c r="C1258" s="18">
        <f>E1258+H1258+K1258</f>
        <v>74.6</v>
      </c>
      <c r="D1258" s="31">
        <v>20</v>
      </c>
      <c r="E1258" s="8">
        <f>D1258*FORECAST(D1258,AA$10:AA$11,Z$10:Z$11)</f>
        <v>74.6</v>
      </c>
      <c r="F1258" s="31" t="s">
        <v>433</v>
      </c>
      <c r="G1258" s="31"/>
      <c r="H1258" s="31"/>
      <c r="I1258" s="31"/>
      <c r="J1258" s="31"/>
      <c r="K1258" s="31"/>
      <c r="L1258" s="31"/>
      <c r="M1258" s="31"/>
      <c r="N1258" s="31">
        <v>600</v>
      </c>
      <c r="O1258" s="8">
        <f>C1258/0.92</f>
        <v>81.08695652173913</v>
      </c>
      <c r="P1258" s="31">
        <v>1</v>
      </c>
      <c r="Q1258" s="31">
        <v>150</v>
      </c>
      <c r="R1258" s="8">
        <f>1.454*C1258</f>
        <v>108.46839999999999</v>
      </c>
      <c r="S1258" s="9">
        <f>E1258*1.454*0.4</f>
        <v>43.38736</v>
      </c>
      <c r="T1258" s="9">
        <f>E1258*1.454*0.2</f>
        <v>21.69368</v>
      </c>
      <c r="U1258" s="9">
        <f>E1258*1.454*0.2</f>
        <v>21.69368</v>
      </c>
      <c r="V1258" s="9">
        <f>E1258*1.454*0.2</f>
        <v>21.69368</v>
      </c>
      <c r="W1258" s="9">
        <f>H1258*1.454</f>
        <v>0</v>
      </c>
      <c r="X1258" s="9">
        <f>K1258*1.454</f>
        <v>0</v>
      </c>
      <c r="Y1258" s="4">
        <f t="shared" si="191"/>
        <v>43.38736</v>
      </c>
    </row>
    <row r="1259" spans="1:25" ht="18.75" outlineLevel="2">
      <c r="A1259" s="160">
        <v>1</v>
      </c>
      <c r="B1259" s="158" t="s">
        <v>60</v>
      </c>
      <c r="C1259" s="158"/>
      <c r="D1259" s="158"/>
      <c r="E1259" s="158"/>
      <c r="F1259" s="158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4">
        <f t="shared" si="191"/>
        <v>0</v>
      </c>
    </row>
    <row r="1260" spans="1:25" ht="18" outlineLevel="2">
      <c r="A1260" s="160"/>
      <c r="B1260" s="36">
        <f>D1260+G1260+J1260</f>
        <v>20</v>
      </c>
      <c r="C1260" s="18">
        <f>E1260+H1260+K1260</f>
        <v>74.6</v>
      </c>
      <c r="D1260" s="31">
        <v>20</v>
      </c>
      <c r="E1260" s="8">
        <f>D1260*FORECAST(D1260,AA$10:AA$11,Z$10:Z$11)</f>
        <v>74.6</v>
      </c>
      <c r="F1260" s="31" t="s">
        <v>433</v>
      </c>
      <c r="G1260" s="31"/>
      <c r="H1260" s="31"/>
      <c r="I1260" s="31"/>
      <c r="J1260" s="31"/>
      <c r="K1260" s="31"/>
      <c r="L1260" s="31"/>
      <c r="M1260" s="31"/>
      <c r="N1260" s="31">
        <v>600</v>
      </c>
      <c r="O1260" s="8">
        <f>C1260/0.92</f>
        <v>81.08695652173913</v>
      </c>
      <c r="P1260" s="31">
        <v>1</v>
      </c>
      <c r="Q1260" s="31">
        <v>150</v>
      </c>
      <c r="R1260" s="8">
        <f>1.454*C1260</f>
        <v>108.46839999999999</v>
      </c>
      <c r="S1260" s="9">
        <f>E1260*1.454*0.4</f>
        <v>43.38736</v>
      </c>
      <c r="T1260" s="9">
        <f>E1260*1.454*0.2</f>
        <v>21.69368</v>
      </c>
      <c r="U1260" s="9">
        <f>E1260*1.454*0.2</f>
        <v>21.69368</v>
      </c>
      <c r="V1260" s="9">
        <f>E1260*1.454*0.2</f>
        <v>21.69368</v>
      </c>
      <c r="W1260" s="9">
        <f>H1260*1.454</f>
        <v>0</v>
      </c>
      <c r="X1260" s="9">
        <f>K1260*1.454</f>
        <v>0</v>
      </c>
      <c r="Y1260" s="4">
        <f t="shared" si="191"/>
        <v>43.38736</v>
      </c>
    </row>
    <row r="1261" spans="1:25" ht="18.75" outlineLevel="2">
      <c r="A1261" s="160">
        <v>1</v>
      </c>
      <c r="B1261" s="158" t="s">
        <v>743</v>
      </c>
      <c r="C1261" s="158"/>
      <c r="D1261" s="158"/>
      <c r="E1261" s="158"/>
      <c r="F1261" s="158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4">
        <f t="shared" si="191"/>
        <v>0</v>
      </c>
    </row>
    <row r="1262" spans="1:25" ht="18" outlineLevel="2">
      <c r="A1262" s="160"/>
      <c r="B1262" s="36">
        <f>D1262+G1262+J1262</f>
        <v>20</v>
      </c>
      <c r="C1262" s="18">
        <f>E1262+H1262+K1262</f>
        <v>74.6</v>
      </c>
      <c r="D1262" s="31">
        <v>20</v>
      </c>
      <c r="E1262" s="8">
        <f>D1262*FORECAST(D1262,AA$10:AA$11,Z$10:Z$11)</f>
        <v>74.6</v>
      </c>
      <c r="F1262" s="31" t="s">
        <v>433</v>
      </c>
      <c r="G1262" s="31"/>
      <c r="H1262" s="31"/>
      <c r="I1262" s="31"/>
      <c r="J1262" s="31"/>
      <c r="K1262" s="31"/>
      <c r="L1262" s="31"/>
      <c r="M1262" s="31"/>
      <c r="N1262" s="31">
        <v>600</v>
      </c>
      <c r="O1262" s="8">
        <f>C1262/0.92</f>
        <v>81.08695652173913</v>
      </c>
      <c r="P1262" s="31">
        <v>1</v>
      </c>
      <c r="Q1262" s="31">
        <v>150</v>
      </c>
      <c r="R1262" s="8">
        <f>1.454*C1262</f>
        <v>108.46839999999999</v>
      </c>
      <c r="S1262" s="9">
        <f>E1262*1.454*0.4</f>
        <v>43.38736</v>
      </c>
      <c r="T1262" s="9">
        <f>E1262*1.454*0.2</f>
        <v>21.69368</v>
      </c>
      <c r="U1262" s="9">
        <f>E1262*1.454*0.2</f>
        <v>21.69368</v>
      </c>
      <c r="V1262" s="9">
        <f>E1262*1.454*0.2</f>
        <v>21.69368</v>
      </c>
      <c r="W1262" s="9">
        <f>H1262*1.454</f>
        <v>0</v>
      </c>
      <c r="X1262" s="9">
        <f>K1262*1.454</f>
        <v>0</v>
      </c>
      <c r="Y1262" s="4">
        <f t="shared" si="191"/>
        <v>43.38736</v>
      </c>
    </row>
    <row r="1263" spans="1:25" ht="18.75" outlineLevel="2">
      <c r="A1263" s="160">
        <v>1</v>
      </c>
      <c r="B1263" s="158" t="s">
        <v>343</v>
      </c>
      <c r="C1263" s="158"/>
      <c r="D1263" s="158"/>
      <c r="E1263" s="158"/>
      <c r="F1263" s="158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4">
        <f t="shared" si="191"/>
        <v>0</v>
      </c>
    </row>
    <row r="1264" spans="1:25" ht="18" outlineLevel="2">
      <c r="A1264" s="160"/>
      <c r="B1264" s="36">
        <f>D1264+G1264+J1264</f>
        <v>20</v>
      </c>
      <c r="C1264" s="18">
        <f>E1264+H1264+K1264</f>
        <v>74.6</v>
      </c>
      <c r="D1264" s="31">
        <v>20</v>
      </c>
      <c r="E1264" s="8">
        <f>D1264*FORECAST(D1264,AA$10:AA$11,Z$10:Z$11)</f>
        <v>74.6</v>
      </c>
      <c r="F1264" s="31" t="s">
        <v>433</v>
      </c>
      <c r="G1264" s="31"/>
      <c r="H1264" s="31"/>
      <c r="I1264" s="31"/>
      <c r="J1264" s="31"/>
      <c r="K1264" s="31"/>
      <c r="L1264" s="31"/>
      <c r="M1264" s="31"/>
      <c r="N1264" s="31">
        <v>600</v>
      </c>
      <c r="O1264" s="8">
        <f>C1264/0.92</f>
        <v>81.08695652173913</v>
      </c>
      <c r="P1264" s="31">
        <v>1</v>
      </c>
      <c r="Q1264" s="31">
        <v>150</v>
      </c>
      <c r="R1264" s="8">
        <f>1.454*C1264</f>
        <v>108.46839999999999</v>
      </c>
      <c r="S1264" s="9">
        <f>E1264*1.454*0.4</f>
        <v>43.38736</v>
      </c>
      <c r="T1264" s="9">
        <f>E1264*1.454*0.2</f>
        <v>21.69368</v>
      </c>
      <c r="U1264" s="9">
        <f>E1264*1.454*0.2</f>
        <v>21.69368</v>
      </c>
      <c r="V1264" s="9">
        <f>E1264*1.454*0.2</f>
        <v>21.69368</v>
      </c>
      <c r="W1264" s="9">
        <f>H1264*1.454</f>
        <v>0</v>
      </c>
      <c r="X1264" s="9">
        <f>K1264*1.454</f>
        <v>0</v>
      </c>
      <c r="Y1264" s="4">
        <f t="shared" si="191"/>
        <v>43.38736</v>
      </c>
    </row>
    <row r="1265" spans="1:25" ht="18.75" outlineLevel="2">
      <c r="A1265" s="160">
        <v>1</v>
      </c>
      <c r="B1265" s="158" t="s">
        <v>344</v>
      </c>
      <c r="C1265" s="158"/>
      <c r="D1265" s="158"/>
      <c r="E1265" s="158"/>
      <c r="F1265" s="158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4">
        <f t="shared" si="191"/>
        <v>0</v>
      </c>
    </row>
    <row r="1266" spans="1:25" ht="18" outlineLevel="2">
      <c r="A1266" s="160"/>
      <c r="B1266" s="36">
        <f>D1266+G1266+J1266</f>
        <v>20</v>
      </c>
      <c r="C1266" s="18">
        <f>E1266+H1266+K1266</f>
        <v>74.6</v>
      </c>
      <c r="D1266" s="31">
        <v>20</v>
      </c>
      <c r="E1266" s="8">
        <f>D1266*FORECAST(D1266,AA$10:AA$11,Z$10:Z$11)</f>
        <v>74.6</v>
      </c>
      <c r="F1266" s="31" t="s">
        <v>433</v>
      </c>
      <c r="G1266" s="31"/>
      <c r="H1266" s="31"/>
      <c r="I1266" s="31"/>
      <c r="J1266" s="31"/>
      <c r="K1266" s="31"/>
      <c r="L1266" s="31"/>
      <c r="M1266" s="31"/>
      <c r="N1266" s="31">
        <v>600</v>
      </c>
      <c r="O1266" s="8">
        <f>C1266/0.92</f>
        <v>81.08695652173913</v>
      </c>
      <c r="P1266" s="31">
        <v>1</v>
      </c>
      <c r="Q1266" s="31">
        <v>150</v>
      </c>
      <c r="R1266" s="8">
        <f>1.454*C1266</f>
        <v>108.46839999999999</v>
      </c>
      <c r="S1266" s="9">
        <f>E1266*1.454*0.4</f>
        <v>43.38736</v>
      </c>
      <c r="T1266" s="9">
        <f>E1266*1.454*0.2</f>
        <v>21.69368</v>
      </c>
      <c r="U1266" s="9">
        <f>E1266*1.454*0.2</f>
        <v>21.69368</v>
      </c>
      <c r="V1266" s="9">
        <f>E1266*1.454*0.2</f>
        <v>21.69368</v>
      </c>
      <c r="W1266" s="9">
        <f>H1266*1.454</f>
        <v>0</v>
      </c>
      <c r="X1266" s="9">
        <f>K1266*1.454</f>
        <v>0</v>
      </c>
      <c r="Y1266" s="4">
        <f t="shared" si="191"/>
        <v>43.38736</v>
      </c>
    </row>
    <row r="1267" spans="1:25" ht="18.75" outlineLevel="2">
      <c r="A1267" s="160">
        <v>1</v>
      </c>
      <c r="B1267" s="158" t="s">
        <v>681</v>
      </c>
      <c r="C1267" s="158"/>
      <c r="D1267" s="158"/>
      <c r="E1267" s="158"/>
      <c r="F1267" s="158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4">
        <f t="shared" si="191"/>
        <v>0</v>
      </c>
    </row>
    <row r="1268" spans="1:25" ht="18" outlineLevel="2">
      <c r="A1268" s="160"/>
      <c r="B1268" s="36">
        <f>D1268+G1268+J1268</f>
        <v>32</v>
      </c>
      <c r="C1268" s="18">
        <f>E1268+H1268+K1268</f>
        <v>96.16</v>
      </c>
      <c r="D1268" s="31">
        <v>32</v>
      </c>
      <c r="E1268" s="8">
        <f>D1268*FORECAST(D1268,AA$11:AA$12,Z$11:Z$12)</f>
        <v>96.16</v>
      </c>
      <c r="F1268" s="31" t="s">
        <v>433</v>
      </c>
      <c r="G1268" s="31"/>
      <c r="H1268" s="31"/>
      <c r="I1268" s="31"/>
      <c r="J1268" s="31"/>
      <c r="K1268" s="31"/>
      <c r="L1268" s="31"/>
      <c r="M1268" s="31"/>
      <c r="N1268" s="31">
        <v>960</v>
      </c>
      <c r="O1268" s="8">
        <f>C1268/0.92</f>
        <v>104.52173913043478</v>
      </c>
      <c r="P1268" s="31">
        <v>1</v>
      </c>
      <c r="Q1268" s="31">
        <v>150</v>
      </c>
      <c r="R1268" s="8">
        <f>1.454*C1268</f>
        <v>139.81663999999998</v>
      </c>
      <c r="S1268" s="9">
        <f>E1268*1.454*0.4</f>
        <v>55.926655999999994</v>
      </c>
      <c r="T1268" s="9">
        <f>E1268*1.454*0.2</f>
        <v>27.963327999999997</v>
      </c>
      <c r="U1268" s="9">
        <f>E1268*1.454*0.2</f>
        <v>27.963327999999997</v>
      </c>
      <c r="V1268" s="9">
        <f>E1268*1.454*0.2</f>
        <v>27.963327999999997</v>
      </c>
      <c r="W1268" s="9">
        <f>H1268*1.454</f>
        <v>0</v>
      </c>
      <c r="X1268" s="9">
        <f>K1268*1.454</f>
        <v>0</v>
      </c>
      <c r="Y1268" s="4">
        <f t="shared" si="191"/>
        <v>55.926655999999994</v>
      </c>
    </row>
    <row r="1269" spans="1:25" ht="18.75" outlineLevel="2">
      <c r="A1269" s="160">
        <v>2</v>
      </c>
      <c r="B1269" s="158" t="s">
        <v>682</v>
      </c>
      <c r="C1269" s="158"/>
      <c r="D1269" s="158"/>
      <c r="E1269" s="158"/>
      <c r="F1269" s="158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4">
        <f t="shared" si="191"/>
        <v>0</v>
      </c>
    </row>
    <row r="1270" spans="1:25" ht="18" outlineLevel="2">
      <c r="A1270" s="160"/>
      <c r="B1270" s="36">
        <f>D1270+G1270+J1270</f>
        <v>20</v>
      </c>
      <c r="C1270" s="18">
        <f>E1270+H1270+K1270</f>
        <v>74.6</v>
      </c>
      <c r="D1270" s="31">
        <v>20</v>
      </c>
      <c r="E1270" s="8">
        <f>D1270*FORECAST(D1270,AA$10:AA$11,Z$10:Z$11)</f>
        <v>74.6</v>
      </c>
      <c r="F1270" s="31" t="s">
        <v>433</v>
      </c>
      <c r="G1270" s="31"/>
      <c r="H1270" s="31"/>
      <c r="I1270" s="31"/>
      <c r="J1270" s="31"/>
      <c r="K1270" s="31"/>
      <c r="L1270" s="31"/>
      <c r="M1270" s="31"/>
      <c r="N1270" s="31">
        <v>600</v>
      </c>
      <c r="O1270" s="8">
        <f>C1270/0.92</f>
        <v>81.08695652173913</v>
      </c>
      <c r="P1270" s="31">
        <v>1</v>
      </c>
      <c r="Q1270" s="31">
        <v>150</v>
      </c>
      <c r="R1270" s="8">
        <f>1.454*C1270</f>
        <v>108.46839999999999</v>
      </c>
      <c r="S1270" s="9">
        <f>E1270*1.454*0.4</f>
        <v>43.38736</v>
      </c>
      <c r="T1270" s="9">
        <f>E1270*1.454*0.2</f>
        <v>21.69368</v>
      </c>
      <c r="U1270" s="9">
        <f>E1270*1.454*0.2</f>
        <v>21.69368</v>
      </c>
      <c r="V1270" s="9">
        <f>E1270*1.454*0.2</f>
        <v>21.69368</v>
      </c>
      <c r="W1270" s="9">
        <f>H1270*1.454</f>
        <v>0</v>
      </c>
      <c r="X1270" s="9">
        <f>K1270*1.454</f>
        <v>0</v>
      </c>
      <c r="Y1270" s="4">
        <f t="shared" si="191"/>
        <v>43.38736</v>
      </c>
    </row>
    <row r="1271" spans="1:25" ht="18.75" outlineLevel="2">
      <c r="A1271" s="160">
        <v>3</v>
      </c>
      <c r="B1271" s="158" t="s">
        <v>683</v>
      </c>
      <c r="C1271" s="158"/>
      <c r="D1271" s="158"/>
      <c r="E1271" s="158"/>
      <c r="F1271" s="158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4">
        <f t="shared" si="191"/>
        <v>0</v>
      </c>
    </row>
    <row r="1272" spans="1:25" ht="18" outlineLevel="2">
      <c r="A1272" s="160"/>
      <c r="B1272" s="36">
        <f>D1272+G1272+J1272</f>
        <v>2</v>
      </c>
      <c r="C1272" s="18">
        <f>E1272+H1272+K1272</f>
        <v>112</v>
      </c>
      <c r="D1272" s="31">
        <v>1</v>
      </c>
      <c r="E1272" s="8">
        <f>D1272*FORECAST(D1272,AA$4:AA$5,Z$4:Z$5)</f>
        <v>12</v>
      </c>
      <c r="F1272" s="31" t="s">
        <v>433</v>
      </c>
      <c r="G1272" s="31"/>
      <c r="H1272" s="31"/>
      <c r="I1272" s="31"/>
      <c r="J1272" s="31">
        <v>1</v>
      </c>
      <c r="K1272" s="31">
        <v>100</v>
      </c>
      <c r="L1272" s="31"/>
      <c r="M1272" s="31"/>
      <c r="N1272" s="31"/>
      <c r="O1272" s="8">
        <f>C1272/0.92</f>
        <v>121.73913043478261</v>
      </c>
      <c r="P1272" s="31"/>
      <c r="Q1272" s="31"/>
      <c r="R1272" s="8">
        <f>1.454*C1272</f>
        <v>162.84799999999998</v>
      </c>
      <c r="S1272" s="9">
        <f>E1272*1.454*0.4</f>
        <v>6.9792000000000005</v>
      </c>
      <c r="T1272" s="9">
        <f>E1272*1.454*0.2</f>
        <v>3.4896000000000003</v>
      </c>
      <c r="U1272" s="9">
        <f>E1272*1.454*0.2</f>
        <v>3.4896000000000003</v>
      </c>
      <c r="V1272" s="9">
        <f>E1272*1.454*0.2</f>
        <v>3.4896000000000003</v>
      </c>
      <c r="W1272" s="9">
        <f>H1272*1.454</f>
        <v>0</v>
      </c>
      <c r="X1272" s="9">
        <f>K1272*1.454</f>
        <v>145.4</v>
      </c>
      <c r="Y1272" s="4">
        <f t="shared" si="191"/>
        <v>6.9792000000000005</v>
      </c>
    </row>
    <row r="1273" spans="1:25" ht="36" outlineLevel="2">
      <c r="A1273" s="6" t="s">
        <v>431</v>
      </c>
      <c r="B1273" s="32">
        <f>B1268+B1270+B1272</f>
        <v>54</v>
      </c>
      <c r="C1273" s="33">
        <f>C1268+C1270+C1272</f>
        <v>282.76</v>
      </c>
      <c r="D1273" s="32">
        <f>D1268+D1270+D1272</f>
        <v>53</v>
      </c>
      <c r="E1273" s="33">
        <f>E1268+E1270+E1272</f>
        <v>182.76</v>
      </c>
      <c r="F1273" s="32" t="s">
        <v>433</v>
      </c>
      <c r="G1273" s="32">
        <f>G1268+G1270+G1272</f>
        <v>0</v>
      </c>
      <c r="H1273" s="32">
        <f>H1268+H1270+H1272</f>
        <v>0</v>
      </c>
      <c r="I1273" s="32" t="s">
        <v>441</v>
      </c>
      <c r="J1273" s="32">
        <f>J1268+J1270+J1272</f>
        <v>1</v>
      </c>
      <c r="K1273" s="32">
        <f>K1268+K1270+K1272</f>
        <v>100</v>
      </c>
      <c r="L1273" s="32" t="s">
        <v>433</v>
      </c>
      <c r="M1273" s="32">
        <f aca="true" t="shared" si="192" ref="M1273:X1273">M1268+M1270+M1272</f>
        <v>0</v>
      </c>
      <c r="N1273" s="32">
        <f t="shared" si="192"/>
        <v>1560</v>
      </c>
      <c r="O1273" s="33">
        <f t="shared" si="192"/>
        <v>307.3478260869565</v>
      </c>
      <c r="P1273" s="32">
        <f t="shared" si="192"/>
        <v>2</v>
      </c>
      <c r="Q1273" s="32">
        <f t="shared" si="192"/>
        <v>300</v>
      </c>
      <c r="R1273" s="33">
        <f t="shared" si="192"/>
        <v>411.13303999999994</v>
      </c>
      <c r="S1273" s="33">
        <f t="shared" si="192"/>
        <v>106.293216</v>
      </c>
      <c r="T1273" s="33">
        <f t="shared" si="192"/>
        <v>53.146608</v>
      </c>
      <c r="U1273" s="33">
        <f t="shared" si="192"/>
        <v>53.146608</v>
      </c>
      <c r="V1273" s="33">
        <f t="shared" si="192"/>
        <v>53.146608</v>
      </c>
      <c r="W1273" s="33">
        <f t="shared" si="192"/>
        <v>0</v>
      </c>
      <c r="X1273" s="33">
        <f t="shared" si="192"/>
        <v>145.4</v>
      </c>
      <c r="Y1273" s="4">
        <f t="shared" si="191"/>
        <v>106.293216</v>
      </c>
    </row>
    <row r="1274" spans="1:25" ht="18.75" outlineLevel="2">
      <c r="A1274" s="160">
        <v>1</v>
      </c>
      <c r="B1274" s="158" t="s">
        <v>345</v>
      </c>
      <c r="C1274" s="158"/>
      <c r="D1274" s="158"/>
      <c r="E1274" s="158"/>
      <c r="F1274" s="158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4">
        <f t="shared" si="191"/>
        <v>0</v>
      </c>
    </row>
    <row r="1275" spans="1:25" ht="18" outlineLevel="2">
      <c r="A1275" s="160"/>
      <c r="B1275" s="36">
        <f>D1275+G1275+J1275</f>
        <v>20</v>
      </c>
      <c r="C1275" s="18">
        <f>E1275+H1275+K1275</f>
        <v>74.6</v>
      </c>
      <c r="D1275" s="31">
        <v>20</v>
      </c>
      <c r="E1275" s="8">
        <f>D1275*FORECAST(D1275,AA$10:AA$11,Z$10:Z$11)</f>
        <v>74.6</v>
      </c>
      <c r="F1275" s="31" t="s">
        <v>433</v>
      </c>
      <c r="G1275" s="31"/>
      <c r="H1275" s="31"/>
      <c r="I1275" s="31"/>
      <c r="J1275" s="31"/>
      <c r="K1275" s="31"/>
      <c r="L1275" s="31"/>
      <c r="M1275" s="31"/>
      <c r="N1275" s="31">
        <v>600</v>
      </c>
      <c r="O1275" s="8">
        <f>C1275/0.92</f>
        <v>81.08695652173913</v>
      </c>
      <c r="P1275" s="31">
        <v>1</v>
      </c>
      <c r="Q1275" s="31">
        <v>150</v>
      </c>
      <c r="R1275" s="8">
        <f>1.454*C1275</f>
        <v>108.46839999999999</v>
      </c>
      <c r="S1275" s="9">
        <f>E1275*1.454*0.4</f>
        <v>43.38736</v>
      </c>
      <c r="T1275" s="9">
        <f>E1275*1.454*0.2</f>
        <v>21.69368</v>
      </c>
      <c r="U1275" s="9">
        <f>E1275*1.454*0.2</f>
        <v>21.69368</v>
      </c>
      <c r="V1275" s="9">
        <f>E1275*1.454*0.2</f>
        <v>21.69368</v>
      </c>
      <c r="W1275" s="9">
        <f>H1275*1.454</f>
        <v>0</v>
      </c>
      <c r="X1275" s="9">
        <f>K1275*1.454</f>
        <v>0</v>
      </c>
      <c r="Y1275" s="4">
        <f t="shared" si="191"/>
        <v>43.38736</v>
      </c>
    </row>
    <row r="1276" spans="1:25" ht="18.75" outlineLevel="2">
      <c r="A1276" s="160">
        <v>1</v>
      </c>
      <c r="B1276" s="158" t="s">
        <v>346</v>
      </c>
      <c r="C1276" s="158"/>
      <c r="D1276" s="158"/>
      <c r="E1276" s="158"/>
      <c r="F1276" s="158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4">
        <f t="shared" si="191"/>
        <v>0</v>
      </c>
    </row>
    <row r="1277" spans="1:25" ht="18" outlineLevel="2">
      <c r="A1277" s="160"/>
      <c r="B1277" s="36">
        <f>D1277+G1277+J1277</f>
        <v>20</v>
      </c>
      <c r="C1277" s="18">
        <f>E1277+H1277+K1277</f>
        <v>74.6</v>
      </c>
      <c r="D1277" s="31">
        <v>20</v>
      </c>
      <c r="E1277" s="8">
        <f>D1277*FORECAST(D1277,AA$10:AA$11,Z$10:Z$11)</f>
        <v>74.6</v>
      </c>
      <c r="F1277" s="31" t="s">
        <v>433</v>
      </c>
      <c r="G1277" s="31"/>
      <c r="H1277" s="31"/>
      <c r="I1277" s="31"/>
      <c r="J1277" s="31"/>
      <c r="K1277" s="31"/>
      <c r="L1277" s="31"/>
      <c r="M1277" s="31"/>
      <c r="N1277" s="31">
        <v>600</v>
      </c>
      <c r="O1277" s="8">
        <f>C1277/0.92</f>
        <v>81.08695652173913</v>
      </c>
      <c r="P1277" s="31">
        <v>1</v>
      </c>
      <c r="Q1277" s="31">
        <v>150</v>
      </c>
      <c r="R1277" s="8">
        <f>1.454*C1277</f>
        <v>108.46839999999999</v>
      </c>
      <c r="S1277" s="9">
        <f>E1277*1.454*0.4</f>
        <v>43.38736</v>
      </c>
      <c r="T1277" s="9">
        <f>E1277*1.454*0.2</f>
        <v>21.69368</v>
      </c>
      <c r="U1277" s="9">
        <f>E1277*1.454*0.2</f>
        <v>21.69368</v>
      </c>
      <c r="V1277" s="9">
        <f>E1277*1.454*0.2</f>
        <v>21.69368</v>
      </c>
      <c r="W1277" s="9">
        <f>H1277*1.454</f>
        <v>0</v>
      </c>
      <c r="X1277" s="9">
        <f>K1277*1.454</f>
        <v>0</v>
      </c>
      <c r="Y1277" s="4">
        <f t="shared" si="191"/>
        <v>43.38736</v>
      </c>
    </row>
    <row r="1278" spans="1:25" ht="18.75" outlineLevel="2">
      <c r="A1278" s="160">
        <v>1</v>
      </c>
      <c r="B1278" s="158" t="s">
        <v>684</v>
      </c>
      <c r="C1278" s="158"/>
      <c r="D1278" s="158"/>
      <c r="E1278" s="158"/>
      <c r="F1278" s="158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4">
        <f t="shared" si="191"/>
        <v>0</v>
      </c>
    </row>
    <row r="1279" spans="1:25" ht="18" outlineLevel="2">
      <c r="A1279" s="160"/>
      <c r="B1279" s="36">
        <f>D1279+G1279+J1279</f>
        <v>24</v>
      </c>
      <c r="C1279" s="18">
        <f>E1279+H1279+K1279</f>
        <v>80.39999999999999</v>
      </c>
      <c r="D1279" s="31">
        <v>24</v>
      </c>
      <c r="E1279" s="8">
        <f>D1279*FORECAST(D1279,AA$10:AA$11,Z$10:Z$11)</f>
        <v>80.39999999999999</v>
      </c>
      <c r="F1279" s="31" t="s">
        <v>433</v>
      </c>
      <c r="G1279" s="31"/>
      <c r="H1279" s="31"/>
      <c r="I1279" s="31"/>
      <c r="J1279" s="31"/>
      <c r="K1279" s="31"/>
      <c r="L1279" s="31"/>
      <c r="M1279" s="31"/>
      <c r="N1279" s="31">
        <v>800</v>
      </c>
      <c r="O1279" s="8">
        <f>C1279/0.92</f>
        <v>87.39130434782608</v>
      </c>
      <c r="P1279" s="31">
        <v>1</v>
      </c>
      <c r="Q1279" s="31">
        <v>150</v>
      </c>
      <c r="R1279" s="8">
        <f>1.454*C1279</f>
        <v>116.90159999999999</v>
      </c>
      <c r="S1279" s="9">
        <f>E1279*1.454*0.4</f>
        <v>46.760639999999995</v>
      </c>
      <c r="T1279" s="9">
        <f>E1279*1.454*0.2</f>
        <v>23.380319999999998</v>
      </c>
      <c r="U1279" s="9">
        <f>E1279*1.454*0.2</f>
        <v>23.380319999999998</v>
      </c>
      <c r="V1279" s="9">
        <f>E1279*1.454*0.2</f>
        <v>23.380319999999998</v>
      </c>
      <c r="W1279" s="9">
        <f>H1279*1.454</f>
        <v>0</v>
      </c>
      <c r="X1279" s="9">
        <f>K1279*1.454</f>
        <v>0</v>
      </c>
      <c r="Y1279" s="4">
        <f t="shared" si="191"/>
        <v>46.760639999999995</v>
      </c>
    </row>
    <row r="1280" spans="1:25" ht="18.75" outlineLevel="2">
      <c r="A1280" s="160">
        <v>2</v>
      </c>
      <c r="B1280" s="158" t="s">
        <v>685</v>
      </c>
      <c r="C1280" s="158"/>
      <c r="D1280" s="158"/>
      <c r="E1280" s="158"/>
      <c r="F1280" s="158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4">
        <f t="shared" si="191"/>
        <v>0</v>
      </c>
    </row>
    <row r="1281" spans="1:25" ht="18" outlineLevel="2">
      <c r="A1281" s="160"/>
      <c r="B1281" s="36">
        <f>D1281+G1281+J1281</f>
        <v>20</v>
      </c>
      <c r="C1281" s="18">
        <f>E1281+H1281+K1281</f>
        <v>74.6</v>
      </c>
      <c r="D1281" s="31">
        <v>20</v>
      </c>
      <c r="E1281" s="8">
        <f>D1281*FORECAST(D1281,AA$10:AA$11,Z$10:Z$11)</f>
        <v>74.6</v>
      </c>
      <c r="F1281" s="31" t="s">
        <v>433</v>
      </c>
      <c r="G1281" s="31"/>
      <c r="H1281" s="31"/>
      <c r="I1281" s="31"/>
      <c r="J1281" s="31"/>
      <c r="K1281" s="31"/>
      <c r="L1281" s="31"/>
      <c r="M1281" s="31"/>
      <c r="N1281" s="31">
        <v>600</v>
      </c>
      <c r="O1281" s="8">
        <f>C1281/0.92</f>
        <v>81.08695652173913</v>
      </c>
      <c r="P1281" s="31">
        <v>1</v>
      </c>
      <c r="Q1281" s="31">
        <v>150</v>
      </c>
      <c r="R1281" s="8">
        <f>1.454*C1281</f>
        <v>108.46839999999999</v>
      </c>
      <c r="S1281" s="9">
        <f>E1281*1.454*0.4</f>
        <v>43.38736</v>
      </c>
      <c r="T1281" s="9">
        <f>E1281*1.454*0.2</f>
        <v>21.69368</v>
      </c>
      <c r="U1281" s="9">
        <f>E1281*1.454*0.2</f>
        <v>21.69368</v>
      </c>
      <c r="V1281" s="9">
        <f>E1281*1.454*0.2</f>
        <v>21.69368</v>
      </c>
      <c r="W1281" s="9">
        <f>H1281*1.454</f>
        <v>0</v>
      </c>
      <c r="X1281" s="9">
        <f>K1281*1.454</f>
        <v>0</v>
      </c>
      <c r="Y1281" s="4">
        <f t="shared" si="191"/>
        <v>43.38736</v>
      </c>
    </row>
    <row r="1282" spans="1:25" ht="36" outlineLevel="2">
      <c r="A1282" s="6" t="s">
        <v>431</v>
      </c>
      <c r="B1282" s="37">
        <f>B1279+B1281</f>
        <v>44</v>
      </c>
      <c r="C1282" s="33">
        <f>C1279+C1281</f>
        <v>155</v>
      </c>
      <c r="D1282" s="37">
        <f>D1279+D1281</f>
        <v>44</v>
      </c>
      <c r="E1282" s="37">
        <f>E1279+E1281</f>
        <v>155</v>
      </c>
      <c r="F1282" s="32" t="s">
        <v>433</v>
      </c>
      <c r="G1282" s="37">
        <f>G1279+G1281</f>
        <v>0</v>
      </c>
      <c r="H1282" s="37">
        <f>H1279+H1281</f>
        <v>0</v>
      </c>
      <c r="I1282" s="32" t="s">
        <v>441</v>
      </c>
      <c r="J1282" s="37">
        <f>J1279+J1281</f>
        <v>0</v>
      </c>
      <c r="K1282" s="37">
        <f>K1279+K1281</f>
        <v>0</v>
      </c>
      <c r="L1282" s="32" t="s">
        <v>441</v>
      </c>
      <c r="M1282" s="37">
        <f aca="true" t="shared" si="193" ref="M1282:X1282">M1279+M1281</f>
        <v>0</v>
      </c>
      <c r="N1282" s="37">
        <f t="shared" si="193"/>
        <v>1400</v>
      </c>
      <c r="O1282" s="37">
        <f t="shared" si="193"/>
        <v>168.4782608695652</v>
      </c>
      <c r="P1282" s="37">
        <f t="shared" si="193"/>
        <v>2</v>
      </c>
      <c r="Q1282" s="37">
        <f t="shared" si="193"/>
        <v>300</v>
      </c>
      <c r="R1282" s="33">
        <f t="shared" si="193"/>
        <v>225.36999999999998</v>
      </c>
      <c r="S1282" s="33">
        <f t="shared" si="193"/>
        <v>90.148</v>
      </c>
      <c r="T1282" s="33">
        <f t="shared" si="193"/>
        <v>45.074</v>
      </c>
      <c r="U1282" s="33">
        <f t="shared" si="193"/>
        <v>45.074</v>
      </c>
      <c r="V1282" s="33">
        <f t="shared" si="193"/>
        <v>45.074</v>
      </c>
      <c r="W1282" s="33">
        <f t="shared" si="193"/>
        <v>0</v>
      </c>
      <c r="X1282" s="33">
        <f t="shared" si="193"/>
        <v>0</v>
      </c>
      <c r="Y1282" s="4">
        <f t="shared" si="191"/>
        <v>90.148</v>
      </c>
    </row>
    <row r="1283" spans="1:25" ht="18.75" outlineLevel="2">
      <c r="A1283" s="160">
        <v>1</v>
      </c>
      <c r="B1283" s="158" t="s">
        <v>686</v>
      </c>
      <c r="C1283" s="158"/>
      <c r="D1283" s="158"/>
      <c r="E1283" s="158"/>
      <c r="F1283" s="158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4">
        <f t="shared" si="191"/>
        <v>0</v>
      </c>
    </row>
    <row r="1284" spans="1:25" ht="18" outlineLevel="2">
      <c r="A1284" s="160"/>
      <c r="B1284" s="36">
        <f>D1284+G1284+J1284</f>
        <v>20</v>
      </c>
      <c r="C1284" s="18">
        <f>E1284+H1284+K1284</f>
        <v>74.6</v>
      </c>
      <c r="D1284" s="31">
        <v>20</v>
      </c>
      <c r="E1284" s="8">
        <f>D1284*FORECAST(D1284,AA$10:AA$11,Z$10:Z$11)</f>
        <v>74.6</v>
      </c>
      <c r="F1284" s="31" t="s">
        <v>433</v>
      </c>
      <c r="G1284" s="31"/>
      <c r="H1284" s="31"/>
      <c r="I1284" s="31"/>
      <c r="J1284" s="31"/>
      <c r="K1284" s="31"/>
      <c r="L1284" s="31"/>
      <c r="M1284" s="31"/>
      <c r="N1284" s="31">
        <v>600</v>
      </c>
      <c r="O1284" s="8">
        <f>C1284/0.92</f>
        <v>81.08695652173913</v>
      </c>
      <c r="P1284" s="31">
        <v>1</v>
      </c>
      <c r="Q1284" s="31">
        <v>150</v>
      </c>
      <c r="R1284" s="8">
        <f>1.454*C1284</f>
        <v>108.46839999999999</v>
      </c>
      <c r="S1284" s="9">
        <f>E1284*1.454*0.4</f>
        <v>43.38736</v>
      </c>
      <c r="T1284" s="9">
        <f>E1284*1.454*0.2</f>
        <v>21.69368</v>
      </c>
      <c r="U1284" s="9">
        <f>E1284*1.454*0.2</f>
        <v>21.69368</v>
      </c>
      <c r="V1284" s="9">
        <f>E1284*1.454*0.2</f>
        <v>21.69368</v>
      </c>
      <c r="W1284" s="9">
        <f>H1284*1.454</f>
        <v>0</v>
      </c>
      <c r="X1284" s="9">
        <f>K1284*1.454</f>
        <v>0</v>
      </c>
      <c r="Y1284" s="4">
        <f t="shared" si="191"/>
        <v>43.38736</v>
      </c>
    </row>
    <row r="1285" spans="1:25" ht="18.75" outlineLevel="2">
      <c r="A1285" s="160">
        <v>1</v>
      </c>
      <c r="B1285" s="158" t="s">
        <v>647</v>
      </c>
      <c r="C1285" s="158"/>
      <c r="D1285" s="158"/>
      <c r="E1285" s="158"/>
      <c r="F1285" s="158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4">
        <f t="shared" si="191"/>
        <v>0</v>
      </c>
    </row>
    <row r="1286" spans="1:25" ht="18" outlineLevel="2">
      <c r="A1286" s="160"/>
      <c r="B1286" s="36">
        <f>D1286+G1286+J1286</f>
        <v>21</v>
      </c>
      <c r="C1286" s="18">
        <f>E1286+H1286+K1286</f>
        <v>76.335</v>
      </c>
      <c r="D1286" s="31">
        <v>21</v>
      </c>
      <c r="E1286" s="8">
        <f>D1286*FORECAST(D1286,AA$10:AA$11,Z$10:Z$11)</f>
        <v>76.335</v>
      </c>
      <c r="F1286" s="31" t="s">
        <v>433</v>
      </c>
      <c r="G1286" s="31"/>
      <c r="H1286" s="31"/>
      <c r="I1286" s="31"/>
      <c r="J1286" s="31"/>
      <c r="K1286" s="31"/>
      <c r="L1286" s="31"/>
      <c r="M1286" s="31"/>
      <c r="N1286" s="31">
        <v>400</v>
      </c>
      <c r="O1286" s="8">
        <f>C1286/0.92</f>
        <v>82.97282608695652</v>
      </c>
      <c r="P1286" s="31"/>
      <c r="Q1286" s="31"/>
      <c r="R1286" s="8">
        <f>1.454*C1286</f>
        <v>110.99108999999999</v>
      </c>
      <c r="S1286" s="9">
        <f>E1286*1.454*0.4</f>
        <v>44.396435999999994</v>
      </c>
      <c r="T1286" s="9">
        <f>E1286*1.454*0.2</f>
        <v>22.198217999999997</v>
      </c>
      <c r="U1286" s="9">
        <f>E1286*1.454*0.2</f>
        <v>22.198217999999997</v>
      </c>
      <c r="V1286" s="9">
        <f>E1286*1.454*0.2</f>
        <v>22.198217999999997</v>
      </c>
      <c r="W1286" s="9">
        <f>H1286*1.454</f>
        <v>0</v>
      </c>
      <c r="X1286" s="9">
        <f>K1286*1.454</f>
        <v>0</v>
      </c>
      <c r="Y1286" s="4">
        <f t="shared" si="191"/>
        <v>44.396435999999994</v>
      </c>
    </row>
    <row r="1287" spans="1:25" ht="18.75" outlineLevel="2">
      <c r="A1287" s="160">
        <v>2</v>
      </c>
      <c r="B1287" s="158" t="s">
        <v>347</v>
      </c>
      <c r="C1287" s="158"/>
      <c r="D1287" s="158"/>
      <c r="E1287" s="158"/>
      <c r="F1287" s="158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4">
        <f t="shared" si="191"/>
        <v>0</v>
      </c>
    </row>
    <row r="1288" spans="1:25" ht="18" outlineLevel="2">
      <c r="A1288" s="160"/>
      <c r="B1288" s="36">
        <f>D1288+G1288+J1288</f>
        <v>10</v>
      </c>
      <c r="C1288" s="18">
        <f>E1288+H1288+K1288</f>
        <v>55.26666666666667</v>
      </c>
      <c r="D1288" s="31">
        <v>10</v>
      </c>
      <c r="E1288" s="8">
        <f>D1288*FORECAST(D1288,AA$7:AA$8,Z$7:Z$8)</f>
        <v>55.26666666666667</v>
      </c>
      <c r="F1288" s="31" t="s">
        <v>433</v>
      </c>
      <c r="G1288" s="31"/>
      <c r="H1288" s="31"/>
      <c r="I1288" s="31"/>
      <c r="J1288" s="31"/>
      <c r="K1288" s="31"/>
      <c r="L1288" s="31"/>
      <c r="M1288" s="31"/>
      <c r="N1288" s="31">
        <v>350</v>
      </c>
      <c r="O1288" s="8">
        <f>C1288/0.92</f>
        <v>60.072463768115945</v>
      </c>
      <c r="P1288" s="31"/>
      <c r="Q1288" s="31"/>
      <c r="R1288" s="8">
        <f>1.454*C1288</f>
        <v>80.35773333333334</v>
      </c>
      <c r="S1288" s="9">
        <f>E1288*1.454*0.4</f>
        <v>32.14309333333334</v>
      </c>
      <c r="T1288" s="9">
        <f>E1288*1.454*0.2</f>
        <v>16.07154666666667</v>
      </c>
      <c r="U1288" s="9">
        <f>E1288*1.454*0.2</f>
        <v>16.07154666666667</v>
      </c>
      <c r="V1288" s="9">
        <f>E1288*1.454*0.2</f>
        <v>16.07154666666667</v>
      </c>
      <c r="W1288" s="9">
        <f>H1288*1.454</f>
        <v>0</v>
      </c>
      <c r="X1288" s="9">
        <f>K1288*1.454</f>
        <v>0</v>
      </c>
      <c r="Y1288" s="4">
        <f t="shared" si="191"/>
        <v>32.14309333333334</v>
      </c>
    </row>
    <row r="1289" spans="1:25" ht="18.75" outlineLevel="2">
      <c r="A1289" s="160">
        <v>3</v>
      </c>
      <c r="B1289" s="158" t="s">
        <v>348</v>
      </c>
      <c r="C1289" s="158"/>
      <c r="D1289" s="158"/>
      <c r="E1289" s="158"/>
      <c r="F1289" s="158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4">
        <f t="shared" si="191"/>
        <v>0</v>
      </c>
    </row>
    <row r="1290" spans="1:25" ht="18" outlineLevel="2">
      <c r="A1290" s="160"/>
      <c r="B1290" s="36">
        <f>D1290+G1290+J1290</f>
        <v>10</v>
      </c>
      <c r="C1290" s="18">
        <f>E1290+H1290+K1290</f>
        <v>55.26666666666667</v>
      </c>
      <c r="D1290" s="31">
        <v>10</v>
      </c>
      <c r="E1290" s="8">
        <f>D1290*FORECAST(D1290,AA$7:AA$8,Z$7:Z$8)</f>
        <v>55.26666666666667</v>
      </c>
      <c r="F1290" s="31" t="s">
        <v>433</v>
      </c>
      <c r="G1290" s="31"/>
      <c r="H1290" s="31"/>
      <c r="I1290" s="31"/>
      <c r="J1290" s="31"/>
      <c r="K1290" s="31"/>
      <c r="L1290" s="31"/>
      <c r="M1290" s="31"/>
      <c r="N1290" s="31">
        <v>350</v>
      </c>
      <c r="O1290" s="8">
        <f>C1290/0.92</f>
        <v>60.072463768115945</v>
      </c>
      <c r="P1290" s="31"/>
      <c r="Q1290" s="31"/>
      <c r="R1290" s="8">
        <f>1.454*C1290</f>
        <v>80.35773333333334</v>
      </c>
      <c r="S1290" s="9">
        <f>E1290*1.454*0.4</f>
        <v>32.14309333333334</v>
      </c>
      <c r="T1290" s="9">
        <f>E1290*1.454*0.2</f>
        <v>16.07154666666667</v>
      </c>
      <c r="U1290" s="9">
        <f>E1290*1.454*0.2</f>
        <v>16.07154666666667</v>
      </c>
      <c r="V1290" s="9">
        <f>E1290*1.454*0.2</f>
        <v>16.07154666666667</v>
      </c>
      <c r="W1290" s="9">
        <f>H1290*1.454</f>
        <v>0</v>
      </c>
      <c r="X1290" s="9">
        <f>K1290*1.454</f>
        <v>0</v>
      </c>
      <c r="Y1290" s="4">
        <f t="shared" si="191"/>
        <v>32.14309333333334</v>
      </c>
    </row>
    <row r="1291" spans="1:25" ht="18.75" outlineLevel="2">
      <c r="A1291" s="160">
        <v>4</v>
      </c>
      <c r="B1291" s="158" t="s">
        <v>349</v>
      </c>
      <c r="C1291" s="158"/>
      <c r="D1291" s="158"/>
      <c r="E1291" s="158"/>
      <c r="F1291" s="158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4">
        <f t="shared" si="191"/>
        <v>0</v>
      </c>
    </row>
    <row r="1292" spans="1:25" ht="18" outlineLevel="2">
      <c r="A1292" s="160"/>
      <c r="B1292" s="36">
        <f>D1292+G1292+J1292</f>
        <v>10</v>
      </c>
      <c r="C1292" s="18">
        <f>E1292+H1292+K1292</f>
        <v>55.26666666666667</v>
      </c>
      <c r="D1292" s="31">
        <v>10</v>
      </c>
      <c r="E1292" s="8">
        <f>D1292*FORECAST(D1292,AA$7:AA$8,Z$7:Z$8)</f>
        <v>55.26666666666667</v>
      </c>
      <c r="F1292" s="31" t="s">
        <v>433</v>
      </c>
      <c r="G1292" s="31"/>
      <c r="H1292" s="31"/>
      <c r="I1292" s="31"/>
      <c r="J1292" s="31"/>
      <c r="K1292" s="31"/>
      <c r="L1292" s="31"/>
      <c r="M1292" s="31"/>
      <c r="N1292" s="31">
        <v>350</v>
      </c>
      <c r="O1292" s="8">
        <f>C1292/0.92</f>
        <v>60.072463768115945</v>
      </c>
      <c r="P1292" s="31"/>
      <c r="Q1292" s="31"/>
      <c r="R1292" s="8">
        <f>1.454*C1292</f>
        <v>80.35773333333334</v>
      </c>
      <c r="S1292" s="9">
        <f>E1292*1.454*0.4</f>
        <v>32.14309333333334</v>
      </c>
      <c r="T1292" s="9">
        <f>E1292*1.454*0.2</f>
        <v>16.07154666666667</v>
      </c>
      <c r="U1292" s="9">
        <f>E1292*1.454*0.2</f>
        <v>16.07154666666667</v>
      </c>
      <c r="V1292" s="9">
        <f>E1292*1.454*0.2</f>
        <v>16.07154666666667</v>
      </c>
      <c r="W1292" s="9">
        <f>H1292*1.454</f>
        <v>0</v>
      </c>
      <c r="X1292" s="9">
        <f>K1292*1.454</f>
        <v>0</v>
      </c>
      <c r="Y1292" s="4">
        <f t="shared" si="191"/>
        <v>32.14309333333334</v>
      </c>
    </row>
    <row r="1293" spans="1:25" ht="15" customHeight="1" outlineLevel="2">
      <c r="A1293" s="160">
        <v>5</v>
      </c>
      <c r="B1293" s="158" t="s">
        <v>687</v>
      </c>
      <c r="C1293" s="158"/>
      <c r="D1293" s="158"/>
      <c r="E1293" s="158"/>
      <c r="F1293" s="158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4">
        <f t="shared" si="191"/>
        <v>0</v>
      </c>
    </row>
    <row r="1294" spans="1:25" ht="18" outlineLevel="2">
      <c r="A1294" s="160"/>
      <c r="B1294" s="36">
        <f>D1294+G1294+J1294</f>
        <v>10</v>
      </c>
      <c r="C1294" s="18">
        <f>E1294+H1294+K1294</f>
        <v>55.26666666666667</v>
      </c>
      <c r="D1294" s="31">
        <v>10</v>
      </c>
      <c r="E1294" s="8">
        <f>D1294*FORECAST(D1294,AA$7:AA$8,Z$7:Z$8)</f>
        <v>55.26666666666667</v>
      </c>
      <c r="F1294" s="31" t="s">
        <v>433</v>
      </c>
      <c r="G1294" s="31"/>
      <c r="H1294" s="31"/>
      <c r="I1294" s="31"/>
      <c r="J1294" s="31"/>
      <c r="K1294" s="31"/>
      <c r="L1294" s="31"/>
      <c r="M1294" s="31"/>
      <c r="N1294" s="31">
        <v>350</v>
      </c>
      <c r="O1294" s="8">
        <f>C1294/0.92</f>
        <v>60.072463768115945</v>
      </c>
      <c r="P1294" s="31"/>
      <c r="Q1294" s="31"/>
      <c r="R1294" s="8">
        <f>1.454*C1294</f>
        <v>80.35773333333334</v>
      </c>
      <c r="S1294" s="9">
        <f>E1294*1.454*0.4</f>
        <v>32.14309333333334</v>
      </c>
      <c r="T1294" s="9">
        <f>E1294*1.454*0.2</f>
        <v>16.07154666666667</v>
      </c>
      <c r="U1294" s="9">
        <f>E1294*1.454*0.2</f>
        <v>16.07154666666667</v>
      </c>
      <c r="V1294" s="9">
        <f>E1294*1.454*0.2</f>
        <v>16.07154666666667</v>
      </c>
      <c r="W1294" s="9">
        <f>H1294*1.454</f>
        <v>0</v>
      </c>
      <c r="X1294" s="9">
        <f>K1294*1.454</f>
        <v>0</v>
      </c>
      <c r="Y1294" s="4">
        <f t="shared" si="191"/>
        <v>32.14309333333334</v>
      </c>
    </row>
    <row r="1295" spans="1:25" ht="18.75" outlineLevel="2">
      <c r="A1295" s="160">
        <v>6</v>
      </c>
      <c r="B1295" s="158" t="s">
        <v>350</v>
      </c>
      <c r="C1295" s="158"/>
      <c r="D1295" s="158"/>
      <c r="E1295" s="158"/>
      <c r="F1295" s="158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4">
        <f t="shared" si="191"/>
        <v>0</v>
      </c>
    </row>
    <row r="1296" spans="1:25" ht="18" outlineLevel="2">
      <c r="A1296" s="160"/>
      <c r="B1296" s="36">
        <f>D1296+G1296+J1296</f>
        <v>10</v>
      </c>
      <c r="C1296" s="18">
        <f>E1296+H1296+K1296</f>
        <v>55.26666666666667</v>
      </c>
      <c r="D1296" s="31">
        <v>10</v>
      </c>
      <c r="E1296" s="8">
        <f>D1296*FORECAST(D1296,AA$7:AA$8,Z$7:Z$8)</f>
        <v>55.26666666666667</v>
      </c>
      <c r="F1296" s="31" t="s">
        <v>433</v>
      </c>
      <c r="G1296" s="31"/>
      <c r="H1296" s="31"/>
      <c r="I1296" s="31"/>
      <c r="J1296" s="31"/>
      <c r="K1296" s="31"/>
      <c r="L1296" s="31"/>
      <c r="M1296" s="31"/>
      <c r="N1296" s="31">
        <v>350</v>
      </c>
      <c r="O1296" s="8">
        <f>C1296/0.92</f>
        <v>60.072463768115945</v>
      </c>
      <c r="P1296" s="31">
        <v>1</v>
      </c>
      <c r="Q1296" s="31">
        <v>40</v>
      </c>
      <c r="R1296" s="8">
        <f>1.454*C1296</f>
        <v>80.35773333333334</v>
      </c>
      <c r="S1296" s="9">
        <f>E1296*1.454*0.4</f>
        <v>32.14309333333334</v>
      </c>
      <c r="T1296" s="9">
        <f>E1296*1.454*0.2</f>
        <v>16.07154666666667</v>
      </c>
      <c r="U1296" s="9">
        <f>E1296*1.454*0.2</f>
        <v>16.07154666666667</v>
      </c>
      <c r="V1296" s="9">
        <f>E1296*1.454*0.2</f>
        <v>16.07154666666667</v>
      </c>
      <c r="W1296" s="9">
        <f>H1296*1.454</f>
        <v>0</v>
      </c>
      <c r="X1296" s="9">
        <f>K1296*1.454</f>
        <v>0</v>
      </c>
      <c r="Y1296" s="4">
        <f t="shared" si="191"/>
        <v>32.14309333333334</v>
      </c>
    </row>
    <row r="1297" spans="1:25" ht="18.75" outlineLevel="2">
      <c r="A1297" s="160">
        <v>7</v>
      </c>
      <c r="B1297" s="158" t="s">
        <v>351</v>
      </c>
      <c r="C1297" s="158"/>
      <c r="D1297" s="158"/>
      <c r="E1297" s="158"/>
      <c r="F1297" s="158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4">
        <f t="shared" si="191"/>
        <v>0</v>
      </c>
    </row>
    <row r="1298" spans="1:25" ht="18" outlineLevel="2">
      <c r="A1298" s="160"/>
      <c r="B1298" s="36">
        <f>D1298+G1298+J1298</f>
        <v>10</v>
      </c>
      <c r="C1298" s="18">
        <f>E1298+H1298+K1298</f>
        <v>55.26666666666667</v>
      </c>
      <c r="D1298" s="31">
        <f>10</f>
        <v>10</v>
      </c>
      <c r="E1298" s="8">
        <f>D1298*FORECAST(D1298,AA$7:AA$8,Z$7:Z$8)</f>
        <v>55.26666666666667</v>
      </c>
      <c r="F1298" s="31" t="s">
        <v>433</v>
      </c>
      <c r="G1298" s="31"/>
      <c r="H1298" s="31"/>
      <c r="I1298" s="31"/>
      <c r="J1298" s="31"/>
      <c r="K1298" s="31"/>
      <c r="L1298" s="31"/>
      <c r="M1298" s="31"/>
      <c r="N1298" s="31">
        <f>350</f>
        <v>350</v>
      </c>
      <c r="O1298" s="8">
        <f>C1298/0.92</f>
        <v>60.072463768115945</v>
      </c>
      <c r="P1298" s="31">
        <v>1</v>
      </c>
      <c r="Q1298" s="31">
        <v>40</v>
      </c>
      <c r="R1298" s="8">
        <f>1.454*C1298</f>
        <v>80.35773333333334</v>
      </c>
      <c r="S1298" s="9">
        <f>E1298*1.454*0.4</f>
        <v>32.14309333333334</v>
      </c>
      <c r="T1298" s="9">
        <f>E1298*1.454*0.2</f>
        <v>16.07154666666667</v>
      </c>
      <c r="U1298" s="9">
        <f>E1298*1.454*0.2</f>
        <v>16.07154666666667</v>
      </c>
      <c r="V1298" s="9">
        <f>E1298*1.454*0.2</f>
        <v>16.07154666666667</v>
      </c>
      <c r="W1298" s="9">
        <f>H1298*1.454</f>
        <v>0</v>
      </c>
      <c r="X1298" s="9">
        <f>K1298*1.454</f>
        <v>0</v>
      </c>
      <c r="Y1298" s="4">
        <f t="shared" si="191"/>
        <v>32.14309333333334</v>
      </c>
    </row>
    <row r="1299" spans="1:25" ht="18.75" outlineLevel="2">
      <c r="A1299" s="160">
        <v>8</v>
      </c>
      <c r="B1299" s="158" t="s">
        <v>648</v>
      </c>
      <c r="C1299" s="158"/>
      <c r="D1299" s="158"/>
      <c r="E1299" s="158"/>
      <c r="F1299" s="158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4">
        <f t="shared" si="191"/>
        <v>0</v>
      </c>
    </row>
    <row r="1300" spans="1:25" ht="18" outlineLevel="2">
      <c r="A1300" s="160"/>
      <c r="B1300" s="36">
        <f>D1300+G1300+J1300</f>
        <v>10</v>
      </c>
      <c r="C1300" s="18">
        <f>E1300+H1300+K1300</f>
        <v>55.26666666666667</v>
      </c>
      <c r="D1300" s="31">
        <f>10</f>
        <v>10</v>
      </c>
      <c r="E1300" s="8">
        <f>D1300*FORECAST(D1300,AA$7:AA$8,Z$7:Z$8)</f>
        <v>55.26666666666667</v>
      </c>
      <c r="F1300" s="31"/>
      <c r="G1300" s="31"/>
      <c r="H1300" s="31"/>
      <c r="I1300" s="31"/>
      <c r="J1300" s="31"/>
      <c r="K1300" s="31"/>
      <c r="L1300" s="31"/>
      <c r="M1300" s="31"/>
      <c r="N1300" s="31">
        <f>350</f>
        <v>350</v>
      </c>
      <c r="O1300" s="8">
        <f>C1300/0.92</f>
        <v>60.072463768115945</v>
      </c>
      <c r="P1300" s="31">
        <v>1</v>
      </c>
      <c r="Q1300" s="31">
        <v>40</v>
      </c>
      <c r="R1300" s="8">
        <f>1.454*C1300</f>
        <v>80.35773333333334</v>
      </c>
      <c r="S1300" s="9">
        <f>E1300*1.454*0.4</f>
        <v>32.14309333333334</v>
      </c>
      <c r="T1300" s="9">
        <f>E1300*1.454*0.2</f>
        <v>16.07154666666667</v>
      </c>
      <c r="U1300" s="9">
        <f>E1300*1.454*0.2</f>
        <v>16.07154666666667</v>
      </c>
      <c r="V1300" s="9">
        <f>E1300*1.454*0.2</f>
        <v>16.07154666666667</v>
      </c>
      <c r="W1300" s="9">
        <f>H1300*1.454</f>
        <v>0</v>
      </c>
      <c r="X1300" s="9">
        <f>K1300*1.454</f>
        <v>0</v>
      </c>
      <c r="Y1300" s="4">
        <f t="shared" si="191"/>
        <v>32.14309333333334</v>
      </c>
    </row>
    <row r="1301" spans="1:25" ht="36" outlineLevel="2">
      <c r="A1301" s="6" t="s">
        <v>431</v>
      </c>
      <c r="B1301" s="37">
        <f>B1286+B1288+B1290+B1292+B1294+B1296+B1298+B1300</f>
        <v>91</v>
      </c>
      <c r="C1301" s="33">
        <f>C1286+C1288+C1290+C1292+C1294+C1296+C1298+C1300</f>
        <v>463.20166666666665</v>
      </c>
      <c r="D1301" s="37">
        <f>D1286+D1288+D1290+D1292+D1294+D1296+D1298+D1300</f>
        <v>91</v>
      </c>
      <c r="E1301" s="33">
        <f>E1286+E1288+E1290+E1292+E1294+E1296+E1298+E1300</f>
        <v>463.20166666666665</v>
      </c>
      <c r="F1301" s="32" t="s">
        <v>433</v>
      </c>
      <c r="G1301" s="37">
        <f>G1286+G1288+G1290+G1292+G1294+G1296+G1298+G1300</f>
        <v>0</v>
      </c>
      <c r="H1301" s="37">
        <f>H1286+H1288+H1290+H1292+H1294+H1296+H1298+H1300</f>
        <v>0</v>
      </c>
      <c r="I1301" s="32" t="s">
        <v>441</v>
      </c>
      <c r="J1301" s="37">
        <f>J1286+J1288+J1290+J1292+J1294+J1296+J1298+J1300</f>
        <v>0</v>
      </c>
      <c r="K1301" s="37">
        <f>K1286+K1288+K1290+K1292+K1294+K1296+K1298+K1300</f>
        <v>0</v>
      </c>
      <c r="L1301" s="32" t="s">
        <v>441</v>
      </c>
      <c r="M1301" s="37">
        <f aca="true" t="shared" si="194" ref="M1301:X1301">M1286+M1288+M1290+M1292+M1294+M1296+M1298+M1300</f>
        <v>0</v>
      </c>
      <c r="N1301" s="37">
        <f t="shared" si="194"/>
        <v>2850</v>
      </c>
      <c r="O1301" s="37">
        <f t="shared" si="194"/>
        <v>503.4800724637681</v>
      </c>
      <c r="P1301" s="37">
        <f t="shared" si="194"/>
        <v>3</v>
      </c>
      <c r="Q1301" s="37">
        <f t="shared" si="194"/>
        <v>120</v>
      </c>
      <c r="R1301" s="33">
        <f t="shared" si="194"/>
        <v>673.4952233333335</v>
      </c>
      <c r="S1301" s="33">
        <f t="shared" si="194"/>
        <v>269.3980893333334</v>
      </c>
      <c r="T1301" s="33">
        <f t="shared" si="194"/>
        <v>134.6990446666667</v>
      </c>
      <c r="U1301" s="33">
        <f t="shared" si="194"/>
        <v>134.6990446666667</v>
      </c>
      <c r="V1301" s="33">
        <f t="shared" si="194"/>
        <v>134.6990446666667</v>
      </c>
      <c r="W1301" s="33">
        <f t="shared" si="194"/>
        <v>0</v>
      </c>
      <c r="X1301" s="33">
        <f t="shared" si="194"/>
        <v>0</v>
      </c>
      <c r="Y1301" s="4">
        <f t="shared" si="191"/>
        <v>269.3980893333334</v>
      </c>
    </row>
    <row r="1302" spans="1:25" ht="18.75" outlineLevel="2">
      <c r="A1302" s="160">
        <v>1</v>
      </c>
      <c r="B1302" s="158" t="s">
        <v>352</v>
      </c>
      <c r="C1302" s="158"/>
      <c r="D1302" s="158"/>
      <c r="E1302" s="158"/>
      <c r="F1302" s="158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4">
        <f t="shared" si="191"/>
        <v>0</v>
      </c>
    </row>
    <row r="1303" spans="1:25" ht="18" outlineLevel="2">
      <c r="A1303" s="160"/>
      <c r="B1303" s="36">
        <f>D1303+G1303+J1303</f>
        <v>20</v>
      </c>
      <c r="C1303" s="18">
        <f>E1303+H1303+K1303</f>
        <v>74.6</v>
      </c>
      <c r="D1303" s="31">
        <v>20</v>
      </c>
      <c r="E1303" s="8">
        <f>D1303*FORECAST(D1303,AA$10:AA$11,Z$10:Z$11)</f>
        <v>74.6</v>
      </c>
      <c r="F1303" s="31" t="s">
        <v>433</v>
      </c>
      <c r="G1303" s="31"/>
      <c r="H1303" s="31"/>
      <c r="I1303" s="31"/>
      <c r="J1303" s="31"/>
      <c r="K1303" s="31"/>
      <c r="L1303" s="31"/>
      <c r="M1303" s="31"/>
      <c r="N1303" s="31">
        <v>450</v>
      </c>
      <c r="O1303" s="8">
        <f>C1303/0.92</f>
        <v>81.08695652173913</v>
      </c>
      <c r="P1303" s="31">
        <v>1</v>
      </c>
      <c r="Q1303" s="31">
        <v>150</v>
      </c>
      <c r="R1303" s="8">
        <f>1.454*C1303</f>
        <v>108.46839999999999</v>
      </c>
      <c r="S1303" s="9">
        <f>E1303*1.454*0.4</f>
        <v>43.38736</v>
      </c>
      <c r="T1303" s="9">
        <f>E1303*1.454*0.2</f>
        <v>21.69368</v>
      </c>
      <c r="U1303" s="9">
        <f>E1303*1.454*0.2</f>
        <v>21.69368</v>
      </c>
      <c r="V1303" s="9">
        <f>E1303*1.454*0.2</f>
        <v>21.69368</v>
      </c>
      <c r="W1303" s="9">
        <f>H1303*1.454</f>
        <v>0</v>
      </c>
      <c r="X1303" s="9">
        <f>K1303*1.454</f>
        <v>0</v>
      </c>
      <c r="Y1303" s="4">
        <f t="shared" si="191"/>
        <v>43.38736</v>
      </c>
    </row>
    <row r="1304" spans="1:25" ht="36" hidden="1" outlineLevel="1">
      <c r="A1304" s="7" t="s">
        <v>435</v>
      </c>
      <c r="B1304" s="38">
        <f>B1196+B1198+B1209+B1222+B1227+B1234+B1236+B1238+B1240+B1242+B1244+B1246+B1248+B1250+B1252+B1254+B1256+B1258+B1260+B1262+B1264+B1266+B1273+B1275+B1277+B1282+B1284+B1301+B1303</f>
        <v>1250</v>
      </c>
      <c r="C1304" s="38">
        <f>C1196+C1198+C1209+C1222+C1227+C1234+C1236+C1238+C1240+C1242+C1244+C1246+C1248+C1250+C1252+C1254+C1256+C1258+C1260+C1262+C1264+C1266+C1273+C1275+C1277+C1282+C1284+C1301+C1303</f>
        <v>4893.551875</v>
      </c>
      <c r="D1304" s="38">
        <f>D1196+D1198+D1209+D1222+D1227+D1234+D1236+D1238+D1240+D1242+D1244+D1246+D1248+D1250+D1252+D1254+D1256+D1258+D1260+D1262+D1264+D1266+D1273+D1275+D1277+D1282+D1284+D1301+D1303</f>
        <v>1242</v>
      </c>
      <c r="E1304" s="38">
        <f>E1196+E1198+E1209+E1222+E1227+E1234+E1236+E1238+E1240+E1242+E1244+E1246+E1248+E1250+E1252+E1254+E1256+E1258+E1260+E1262+E1264+E1266+E1273+E1275+E1277+E1282+E1284+E1301+E1303</f>
        <v>4071.551874999999</v>
      </c>
      <c r="F1304" s="34" t="s">
        <v>433</v>
      </c>
      <c r="G1304" s="38">
        <f>G1196+G1198+G1209+G1222+G1227+G1234+G1236+G1238+G1240+G1242+G1244+G1246+G1248+G1250+G1252+G1254+G1256+G1258+G1260+G1262+G1264+G1266+G1273+G1275+G1277+G1282+G1284+G1301+G1303</f>
        <v>1</v>
      </c>
      <c r="H1304" s="38">
        <f>H1196+H1198+H1209+H1222+H1227+H1234+H1236+H1238+H1240+H1242+H1244+H1246+H1248+H1250+H1252+H1254+H1256+H1258+H1260+H1262+H1264+H1266+H1273+H1275+H1277+H1282+H1284+H1301+H1303</f>
        <v>500</v>
      </c>
      <c r="I1304" s="34" t="s">
        <v>472</v>
      </c>
      <c r="J1304" s="38">
        <f>J1196+J1198+J1209+J1222+J1227+J1234+J1236+J1238+J1240+J1242+J1244+J1246+J1248+J1250+J1252+J1254+J1256+J1258+J1260+J1262+J1264+J1266+J1273+J1275+J1277+J1282+J1284+J1301+J1303</f>
        <v>7</v>
      </c>
      <c r="K1304" s="38">
        <f>K1196+K1198+K1209+K1222+K1227+K1234+K1236+K1238+K1240+K1242+K1244+K1246+K1248+K1250+K1252+K1254+K1256+K1258+K1260+K1262+K1264+K1266+K1273+K1275+K1277+K1282+K1284+K1301+K1303</f>
        <v>322</v>
      </c>
      <c r="L1304" s="34" t="s">
        <v>433</v>
      </c>
      <c r="M1304" s="38">
        <f aca="true" t="shared" si="195" ref="M1304:X1304">M1196+M1198+M1209+M1222+M1227+M1234+M1236+M1238+M1240+M1242+M1244+M1246+M1248+M1250+M1252+M1254+M1256+M1258+M1260+M1262+M1264+M1266+M1273+M1275+M1277+M1282+M1284+M1301+M1303</f>
        <v>800</v>
      </c>
      <c r="N1304" s="38">
        <f t="shared" si="195"/>
        <v>28280</v>
      </c>
      <c r="O1304" s="38">
        <f t="shared" si="195"/>
        <v>5319.078124999999</v>
      </c>
      <c r="P1304" s="38">
        <f t="shared" si="195"/>
        <v>50</v>
      </c>
      <c r="Q1304" s="38">
        <f t="shared" si="195"/>
        <v>8450</v>
      </c>
      <c r="R1304" s="35">
        <f t="shared" si="195"/>
        <v>7115.224426249996</v>
      </c>
      <c r="S1304" s="35">
        <f t="shared" si="195"/>
        <v>2368.0145704999995</v>
      </c>
      <c r="T1304" s="35">
        <f t="shared" si="195"/>
        <v>1184.0072852499998</v>
      </c>
      <c r="U1304" s="35">
        <f t="shared" si="195"/>
        <v>1184.0072852499998</v>
      </c>
      <c r="V1304" s="35">
        <f t="shared" si="195"/>
        <v>1184.0072852499998</v>
      </c>
      <c r="W1304" s="35">
        <f t="shared" si="195"/>
        <v>727</v>
      </c>
      <c r="X1304" s="35">
        <f t="shared" si="195"/>
        <v>468.188</v>
      </c>
      <c r="Y1304" s="4">
        <f t="shared" si="191"/>
        <v>2368.0145704999995</v>
      </c>
    </row>
    <row r="1305" spans="1:25" ht="18.75" outlineLevel="2">
      <c r="A1305" s="160">
        <v>1</v>
      </c>
      <c r="B1305" s="158" t="s">
        <v>317</v>
      </c>
      <c r="C1305" s="158"/>
      <c r="D1305" s="158"/>
      <c r="E1305" s="158"/>
      <c r="F1305" s="158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4">
        <f t="shared" si="191"/>
        <v>0</v>
      </c>
    </row>
    <row r="1306" spans="1:25" ht="18" outlineLevel="2">
      <c r="A1306" s="160"/>
      <c r="B1306" s="31">
        <f>D1306+G1306+J1306</f>
        <v>15</v>
      </c>
      <c r="C1306" s="31">
        <f>E1306+H1306+K1306</f>
        <v>65.1</v>
      </c>
      <c r="D1306" s="31">
        <v>15</v>
      </c>
      <c r="E1306" s="8">
        <f>D1306*FORECAST(D1306,AA$9:AA$10,Z$9:Z$10)</f>
        <v>65.1</v>
      </c>
      <c r="F1306" s="31" t="s">
        <v>433</v>
      </c>
      <c r="G1306" s="31"/>
      <c r="H1306" s="31"/>
      <c r="I1306" s="31"/>
      <c r="J1306" s="31"/>
      <c r="K1306" s="31"/>
      <c r="L1306" s="31"/>
      <c r="M1306" s="31"/>
      <c r="N1306" s="31">
        <v>450</v>
      </c>
      <c r="O1306" s="8">
        <f>C1306/0.92</f>
        <v>70.76086956521738</v>
      </c>
      <c r="P1306" s="31"/>
      <c r="Q1306" s="31"/>
      <c r="R1306" s="8">
        <f>1.454*C1306</f>
        <v>94.65539999999999</v>
      </c>
      <c r="S1306" s="9">
        <f>E1306*1.454*0.4</f>
        <v>37.862159999999996</v>
      </c>
      <c r="T1306" s="9">
        <f>E1306*1.454*0.2</f>
        <v>18.931079999999998</v>
      </c>
      <c r="U1306" s="9">
        <f>E1306*1.454*0.2</f>
        <v>18.931079999999998</v>
      </c>
      <c r="V1306" s="9">
        <f>E1306*1.454*0.2</f>
        <v>18.931079999999998</v>
      </c>
      <c r="W1306" s="9">
        <f>H1306*1.454</f>
        <v>0</v>
      </c>
      <c r="X1306" s="9">
        <f>K1306*1.454</f>
        <v>0</v>
      </c>
      <c r="Y1306" s="4">
        <f t="shared" si="191"/>
        <v>37.862159999999996</v>
      </c>
    </row>
    <row r="1307" spans="1:25" ht="18.75" outlineLevel="2">
      <c r="A1307" s="160">
        <v>1</v>
      </c>
      <c r="B1307" s="158" t="s">
        <v>353</v>
      </c>
      <c r="C1307" s="158"/>
      <c r="D1307" s="158"/>
      <c r="E1307" s="158"/>
      <c r="F1307" s="158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4">
        <f t="shared" si="191"/>
        <v>0</v>
      </c>
    </row>
    <row r="1308" spans="1:25" ht="18" outlineLevel="2">
      <c r="A1308" s="160"/>
      <c r="B1308" s="31">
        <f>D1308+G1308+J1308</f>
        <v>30</v>
      </c>
      <c r="C1308" s="18">
        <f>E1308+H1308+K1308</f>
        <v>92.73749999999998</v>
      </c>
      <c r="D1308" s="31">
        <v>30</v>
      </c>
      <c r="E1308" s="8">
        <f>D1308*FORECAST(D1308,AA$11:AA$12,Z$11:Z$12)</f>
        <v>92.73749999999998</v>
      </c>
      <c r="F1308" s="31" t="s">
        <v>433</v>
      </c>
      <c r="G1308" s="31"/>
      <c r="H1308" s="31"/>
      <c r="I1308" s="31"/>
      <c r="J1308" s="31"/>
      <c r="K1308" s="31"/>
      <c r="L1308" s="31"/>
      <c r="M1308" s="31"/>
      <c r="N1308" s="31">
        <v>900</v>
      </c>
      <c r="O1308" s="8">
        <f>C1308/0.92</f>
        <v>100.80163043478258</v>
      </c>
      <c r="P1308" s="31">
        <v>1</v>
      </c>
      <c r="Q1308" s="31">
        <v>150</v>
      </c>
      <c r="R1308" s="8">
        <f>1.454*C1308</f>
        <v>134.84032499999998</v>
      </c>
      <c r="S1308" s="9">
        <f>E1308*1.454*0.4</f>
        <v>53.93612999999999</v>
      </c>
      <c r="T1308" s="9">
        <f>E1308*1.454*0.2</f>
        <v>26.968064999999996</v>
      </c>
      <c r="U1308" s="9">
        <f>E1308*1.454*0.2</f>
        <v>26.968064999999996</v>
      </c>
      <c r="V1308" s="9">
        <f>E1308*1.454*0.2</f>
        <v>26.968064999999996</v>
      </c>
      <c r="W1308" s="9">
        <f>H1308*1.454</f>
        <v>0</v>
      </c>
      <c r="X1308" s="9">
        <f>K1308*1.454</f>
        <v>0</v>
      </c>
      <c r="Y1308" s="4">
        <f t="shared" si="191"/>
        <v>53.93612999999999</v>
      </c>
    </row>
    <row r="1309" spans="1:25" ht="18.75" outlineLevel="2">
      <c r="A1309" s="160">
        <v>1</v>
      </c>
      <c r="B1309" s="158" t="s">
        <v>688</v>
      </c>
      <c r="C1309" s="158"/>
      <c r="D1309" s="158"/>
      <c r="E1309" s="158"/>
      <c r="F1309" s="158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4">
        <f t="shared" si="191"/>
        <v>0</v>
      </c>
    </row>
    <row r="1310" spans="1:25" ht="18" outlineLevel="2">
      <c r="A1310" s="160"/>
      <c r="B1310" s="31">
        <f>D1310+G1310+J1310</f>
        <v>30</v>
      </c>
      <c r="C1310" s="18">
        <f>E1310+H1310+K1310</f>
        <v>92.73749999999998</v>
      </c>
      <c r="D1310" s="31">
        <v>30</v>
      </c>
      <c r="E1310" s="8">
        <f>D1310*FORECAST(D1310,AA$11:AA$12,Z$11:Z$12)</f>
        <v>92.73749999999998</v>
      </c>
      <c r="F1310" s="31" t="s">
        <v>433</v>
      </c>
      <c r="G1310" s="31"/>
      <c r="H1310" s="31"/>
      <c r="I1310" s="31"/>
      <c r="J1310" s="31"/>
      <c r="K1310" s="31"/>
      <c r="L1310" s="31"/>
      <c r="M1310" s="31"/>
      <c r="N1310" s="31">
        <v>900</v>
      </c>
      <c r="O1310" s="8">
        <f>C1310/0.92</f>
        <v>100.80163043478258</v>
      </c>
      <c r="P1310" s="31">
        <v>1</v>
      </c>
      <c r="Q1310" s="31">
        <v>150</v>
      </c>
      <c r="R1310" s="8">
        <f>1.454*C1310</f>
        <v>134.84032499999998</v>
      </c>
      <c r="S1310" s="9">
        <f>E1310*1.454*0.4</f>
        <v>53.93612999999999</v>
      </c>
      <c r="T1310" s="9">
        <f>E1310*1.454*0.2</f>
        <v>26.968064999999996</v>
      </c>
      <c r="U1310" s="9">
        <f>E1310*1.454*0.2</f>
        <v>26.968064999999996</v>
      </c>
      <c r="V1310" s="9">
        <f>E1310*1.454*0.2</f>
        <v>26.968064999999996</v>
      </c>
      <c r="W1310" s="9">
        <f>H1310*1.454</f>
        <v>0</v>
      </c>
      <c r="X1310" s="9">
        <f>K1310*1.454</f>
        <v>0</v>
      </c>
      <c r="Y1310" s="4">
        <f t="shared" si="191"/>
        <v>53.93612999999999</v>
      </c>
    </row>
    <row r="1311" spans="1:25" ht="18.75" outlineLevel="2">
      <c r="A1311" s="160">
        <v>1</v>
      </c>
      <c r="B1311" s="158" t="s">
        <v>354</v>
      </c>
      <c r="C1311" s="158"/>
      <c r="D1311" s="158"/>
      <c r="E1311" s="158"/>
      <c r="F1311" s="158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4">
        <f t="shared" si="191"/>
        <v>0</v>
      </c>
    </row>
    <row r="1312" spans="1:25" ht="18" outlineLevel="2">
      <c r="A1312" s="160"/>
      <c r="B1312" s="31">
        <f>D1312+G1312+J1312</f>
        <v>25</v>
      </c>
      <c r="C1312" s="18">
        <f>E1312+H1312+K1312</f>
        <v>82.671875</v>
      </c>
      <c r="D1312" s="31">
        <v>25</v>
      </c>
      <c r="E1312" s="8">
        <f>D1312*FORECAST(D1312,AA$11:AA$12,Z$11:Z$12)</f>
        <v>82.671875</v>
      </c>
      <c r="F1312" s="31" t="s">
        <v>433</v>
      </c>
      <c r="G1312" s="31"/>
      <c r="H1312" s="31"/>
      <c r="I1312" s="31"/>
      <c r="J1312" s="31"/>
      <c r="K1312" s="31"/>
      <c r="L1312" s="31"/>
      <c r="M1312" s="31"/>
      <c r="N1312" s="31">
        <v>1300</v>
      </c>
      <c r="O1312" s="8">
        <f>C1312/0.92</f>
        <v>89.86073369565217</v>
      </c>
      <c r="P1312" s="31">
        <v>1</v>
      </c>
      <c r="Q1312" s="31">
        <v>150</v>
      </c>
      <c r="R1312" s="8">
        <f>1.454*C1312</f>
        <v>120.20490625</v>
      </c>
      <c r="S1312" s="9">
        <f>E1312*1.454*0.4</f>
        <v>48.0819625</v>
      </c>
      <c r="T1312" s="9">
        <f>E1312*1.454*0.2</f>
        <v>24.04098125</v>
      </c>
      <c r="U1312" s="9">
        <f>E1312*1.454*0.2</f>
        <v>24.04098125</v>
      </c>
      <c r="V1312" s="9">
        <f>E1312*1.454*0.2</f>
        <v>24.04098125</v>
      </c>
      <c r="W1312" s="9">
        <f>H1312*1.454</f>
        <v>0</v>
      </c>
      <c r="X1312" s="9">
        <f>K1312*1.454</f>
        <v>0</v>
      </c>
      <c r="Y1312" s="4">
        <f t="shared" si="191"/>
        <v>48.0819625</v>
      </c>
    </row>
    <row r="1313" spans="1:25" ht="18.75" outlineLevel="2">
      <c r="A1313" s="160">
        <v>1</v>
      </c>
      <c r="B1313" s="158" t="s">
        <v>355</v>
      </c>
      <c r="C1313" s="158"/>
      <c r="D1313" s="158"/>
      <c r="E1313" s="158"/>
      <c r="F1313" s="158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4">
        <f t="shared" si="191"/>
        <v>0</v>
      </c>
    </row>
    <row r="1314" spans="1:25" ht="18" outlineLevel="2">
      <c r="A1314" s="160"/>
      <c r="B1314" s="31">
        <f>D1314+G1314+J1314</f>
        <v>20</v>
      </c>
      <c r="C1314" s="31">
        <f>E1314+H1314+K1314</f>
        <v>74.6</v>
      </c>
      <c r="D1314" s="31">
        <v>20</v>
      </c>
      <c r="E1314" s="8">
        <f>D1314*FORECAST(D1314,AA$10:AA$11,Z$10:Z$11)</f>
        <v>74.6</v>
      </c>
      <c r="F1314" s="31" t="s">
        <v>433</v>
      </c>
      <c r="G1314" s="31"/>
      <c r="H1314" s="31"/>
      <c r="I1314" s="31"/>
      <c r="J1314" s="31"/>
      <c r="K1314" s="31"/>
      <c r="L1314" s="31"/>
      <c r="M1314" s="31"/>
      <c r="N1314" s="31">
        <v>800</v>
      </c>
      <c r="O1314" s="8">
        <f>C1314/0.92</f>
        <v>81.08695652173913</v>
      </c>
      <c r="P1314" s="31">
        <v>1</v>
      </c>
      <c r="Q1314" s="31">
        <v>150</v>
      </c>
      <c r="R1314" s="8">
        <f>1.454*C1314</f>
        <v>108.46839999999999</v>
      </c>
      <c r="S1314" s="9">
        <f>E1314*1.454*0.4</f>
        <v>43.38736</v>
      </c>
      <c r="T1314" s="9">
        <f>E1314*1.454*0.2</f>
        <v>21.69368</v>
      </c>
      <c r="U1314" s="9">
        <f>E1314*1.454*0.2</f>
        <v>21.69368</v>
      </c>
      <c r="V1314" s="9">
        <f>E1314*1.454*0.2</f>
        <v>21.69368</v>
      </c>
      <c r="W1314" s="9">
        <f>H1314*1.454</f>
        <v>0</v>
      </c>
      <c r="X1314" s="9">
        <f>K1314*1.454</f>
        <v>0</v>
      </c>
      <c r="Y1314" s="4">
        <f t="shared" si="191"/>
        <v>43.38736</v>
      </c>
    </row>
    <row r="1315" spans="1:25" ht="18.75" outlineLevel="2">
      <c r="A1315" s="160">
        <v>1</v>
      </c>
      <c r="B1315" s="158" t="s">
        <v>649</v>
      </c>
      <c r="C1315" s="158"/>
      <c r="D1315" s="158"/>
      <c r="E1315" s="158"/>
      <c r="F1315" s="158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4">
        <f t="shared" si="191"/>
        <v>0</v>
      </c>
    </row>
    <row r="1316" spans="1:25" ht="18" outlineLevel="2">
      <c r="A1316" s="160"/>
      <c r="B1316" s="31">
        <f>D1316+G1316+J1316</f>
        <v>18</v>
      </c>
      <c r="C1316" s="31">
        <f>E1316+H1316+K1316</f>
        <v>70.55999999999999</v>
      </c>
      <c r="D1316" s="31">
        <v>18</v>
      </c>
      <c r="E1316" s="8">
        <f>D1316*FORECAST(D1316,AA$10:AA$11,Z$10:Z$11)</f>
        <v>70.55999999999999</v>
      </c>
      <c r="F1316" s="31" t="s">
        <v>433</v>
      </c>
      <c r="G1316" s="31"/>
      <c r="H1316" s="31"/>
      <c r="I1316" s="31"/>
      <c r="J1316" s="31"/>
      <c r="K1316" s="31"/>
      <c r="L1316" s="31"/>
      <c r="M1316" s="31"/>
      <c r="N1316" s="31">
        <v>600</v>
      </c>
      <c r="O1316" s="8">
        <f>C1316/0.92</f>
        <v>76.69565217391303</v>
      </c>
      <c r="P1316" s="31">
        <v>1</v>
      </c>
      <c r="Q1316" s="31">
        <v>100</v>
      </c>
      <c r="R1316" s="8">
        <f>1.454*C1316</f>
        <v>102.59423999999999</v>
      </c>
      <c r="S1316" s="9">
        <f>E1316*1.454*0.4</f>
        <v>41.037696</v>
      </c>
      <c r="T1316" s="9">
        <f>E1316*1.454*0.2</f>
        <v>20.518848</v>
      </c>
      <c r="U1316" s="9">
        <f>E1316*1.454*0.2</f>
        <v>20.518848</v>
      </c>
      <c r="V1316" s="9">
        <f>E1316*1.454*0.2</f>
        <v>20.518848</v>
      </c>
      <c r="W1316" s="9">
        <f>H1316*1.454</f>
        <v>0</v>
      </c>
      <c r="X1316" s="9">
        <f>K1316*1.454</f>
        <v>0</v>
      </c>
      <c r="Y1316" s="4">
        <f aca="true" t="shared" si="196" ref="Y1316:Y1391">U1316*2</f>
        <v>41.037696</v>
      </c>
    </row>
    <row r="1317" spans="1:25" ht="18.75" outlineLevel="2">
      <c r="A1317" s="160">
        <v>1</v>
      </c>
      <c r="B1317" s="158" t="s">
        <v>689</v>
      </c>
      <c r="C1317" s="158"/>
      <c r="D1317" s="158"/>
      <c r="E1317" s="158"/>
      <c r="F1317" s="158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4">
        <f t="shared" si="196"/>
        <v>0</v>
      </c>
    </row>
    <row r="1318" spans="1:25" ht="18" outlineLevel="2">
      <c r="A1318" s="160"/>
      <c r="B1318" s="31">
        <f>D1318+G1318+J1318</f>
        <v>40</v>
      </c>
      <c r="C1318" s="31">
        <f>E1318+H1318+K1318</f>
        <v>106.4</v>
      </c>
      <c r="D1318" s="31">
        <v>40</v>
      </c>
      <c r="E1318" s="8">
        <f>D1318*FORECAST(D1318,AA$11:AA$12,Z$11:Z$12)</f>
        <v>106.4</v>
      </c>
      <c r="F1318" s="31" t="s">
        <v>433</v>
      </c>
      <c r="G1318" s="31"/>
      <c r="H1318" s="31"/>
      <c r="I1318" s="31"/>
      <c r="J1318" s="31"/>
      <c r="K1318" s="31"/>
      <c r="L1318" s="31"/>
      <c r="M1318" s="31"/>
      <c r="N1318" s="31">
        <v>1200</v>
      </c>
      <c r="O1318" s="8">
        <f>C1318/0.92</f>
        <v>115.65217391304348</v>
      </c>
      <c r="P1318" s="31">
        <v>2</v>
      </c>
      <c r="Q1318" s="31">
        <v>100</v>
      </c>
      <c r="R1318" s="8">
        <f>1.454*C1318</f>
        <v>154.7056</v>
      </c>
      <c r="S1318" s="9">
        <f>E1318*1.454*0.4</f>
        <v>61.88224</v>
      </c>
      <c r="T1318" s="9">
        <f>E1318*1.454*0.2</f>
        <v>30.94112</v>
      </c>
      <c r="U1318" s="9">
        <f>E1318*1.454*0.2</f>
        <v>30.94112</v>
      </c>
      <c r="V1318" s="9">
        <f>E1318*1.454*0.2</f>
        <v>30.94112</v>
      </c>
      <c r="W1318" s="9">
        <f>H1318*1.454</f>
        <v>0</v>
      </c>
      <c r="X1318" s="9">
        <f>K1318*1.454</f>
        <v>0</v>
      </c>
      <c r="Y1318" s="4">
        <f t="shared" si="196"/>
        <v>61.88224</v>
      </c>
    </row>
    <row r="1319" spans="1:25" ht="36" hidden="1" outlineLevel="1">
      <c r="A1319" s="6" t="s">
        <v>436</v>
      </c>
      <c r="B1319" s="32">
        <f>B1306+B1308+B1310+B1312+B1314+B1316+B1318</f>
        <v>178</v>
      </c>
      <c r="C1319" s="33">
        <f>C1306+C1308+C1310+C1312+C1314+C1316+C1318</f>
        <v>584.806875</v>
      </c>
      <c r="D1319" s="32">
        <f>D1306+D1308+D1310+D1312+D1314+D1316+D1318</f>
        <v>178</v>
      </c>
      <c r="E1319" s="33">
        <f>E1306+E1308+E1310+E1312+E1314+E1316+E1318</f>
        <v>584.806875</v>
      </c>
      <c r="F1319" s="32" t="s">
        <v>433</v>
      </c>
      <c r="G1319" s="32">
        <f>G1306+G1308+G1310+G1312+G1314+G1316+G1318</f>
        <v>0</v>
      </c>
      <c r="H1319" s="32">
        <f>H1306+H1308+H1310+H1312+H1314+H1316+H1318</f>
        <v>0</v>
      </c>
      <c r="I1319" s="32" t="s">
        <v>441</v>
      </c>
      <c r="J1319" s="32">
        <f>J1306+J1308+J1310+J1312+J1314+J1316+J1318</f>
        <v>0</v>
      </c>
      <c r="K1319" s="32">
        <f>K1306+K1308+K1310+K1312+K1314+K1316+K1318</f>
        <v>0</v>
      </c>
      <c r="L1319" s="32" t="s">
        <v>441</v>
      </c>
      <c r="M1319" s="32">
        <f aca="true" t="shared" si="197" ref="M1319:X1319">M1306+M1308+M1310+M1312+M1314+M1316+M1318</f>
        <v>0</v>
      </c>
      <c r="N1319" s="32">
        <f t="shared" si="197"/>
        <v>6150</v>
      </c>
      <c r="O1319" s="33">
        <f t="shared" si="197"/>
        <v>635.6596467391304</v>
      </c>
      <c r="P1319" s="32">
        <f t="shared" si="197"/>
        <v>7</v>
      </c>
      <c r="Q1319" s="32">
        <f t="shared" si="197"/>
        <v>800</v>
      </c>
      <c r="R1319" s="33">
        <f t="shared" si="197"/>
        <v>850.3091962499999</v>
      </c>
      <c r="S1319" s="33">
        <f t="shared" si="197"/>
        <v>340.1236785</v>
      </c>
      <c r="T1319" s="33">
        <f t="shared" si="197"/>
        <v>170.06183925</v>
      </c>
      <c r="U1319" s="33">
        <f t="shared" si="197"/>
        <v>170.06183925</v>
      </c>
      <c r="V1319" s="33">
        <f t="shared" si="197"/>
        <v>170.06183925</v>
      </c>
      <c r="W1319" s="33">
        <f t="shared" si="197"/>
        <v>0</v>
      </c>
      <c r="X1319" s="33">
        <f t="shared" si="197"/>
        <v>0</v>
      </c>
      <c r="Y1319" s="4">
        <f t="shared" si="196"/>
        <v>340.1236785</v>
      </c>
    </row>
    <row r="1320" spans="1:25" ht="18.75" outlineLevel="2">
      <c r="A1320" s="160">
        <v>1</v>
      </c>
      <c r="B1320" s="158" t="s">
        <v>356</v>
      </c>
      <c r="C1320" s="158"/>
      <c r="D1320" s="158"/>
      <c r="E1320" s="158"/>
      <c r="F1320" s="158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4">
        <f t="shared" si="196"/>
        <v>0</v>
      </c>
    </row>
    <row r="1321" spans="1:25" ht="18" outlineLevel="2">
      <c r="A1321" s="160"/>
      <c r="B1321" s="31">
        <f>D1321+G1321+J1321</f>
        <v>25</v>
      </c>
      <c r="C1321" s="31">
        <f>E1321+H1321+K1321</f>
        <v>82.671875</v>
      </c>
      <c r="D1321" s="31">
        <v>25</v>
      </c>
      <c r="E1321" s="8">
        <f>D1321*FORECAST(D1321,AA$11:AA$12,Z$11:Z$12)</f>
        <v>82.671875</v>
      </c>
      <c r="F1321" s="31" t="s">
        <v>433</v>
      </c>
      <c r="G1321" s="31"/>
      <c r="H1321" s="31"/>
      <c r="I1321" s="31"/>
      <c r="J1321" s="31"/>
      <c r="K1321" s="31"/>
      <c r="L1321" s="31"/>
      <c r="M1321" s="31"/>
      <c r="N1321" s="31">
        <v>700</v>
      </c>
      <c r="O1321" s="8">
        <f>C1321/0.92</f>
        <v>89.86073369565217</v>
      </c>
      <c r="P1321" s="31">
        <v>1</v>
      </c>
      <c r="Q1321" s="31">
        <v>150</v>
      </c>
      <c r="R1321" s="8">
        <f>1.454*C1321</f>
        <v>120.20490625</v>
      </c>
      <c r="S1321" s="9">
        <f>E1321*1.454*0.4</f>
        <v>48.0819625</v>
      </c>
      <c r="T1321" s="9">
        <f>E1321*1.454*0.2</f>
        <v>24.04098125</v>
      </c>
      <c r="U1321" s="9">
        <f>E1321*1.454*0.2</f>
        <v>24.04098125</v>
      </c>
      <c r="V1321" s="9">
        <f>E1321*1.454*0.2</f>
        <v>24.04098125</v>
      </c>
      <c r="W1321" s="9">
        <f>H1321*1.454</f>
        <v>0</v>
      </c>
      <c r="X1321" s="9">
        <f>K1321*1.454</f>
        <v>0</v>
      </c>
      <c r="Y1321" s="4">
        <f t="shared" si="196"/>
        <v>48.0819625</v>
      </c>
    </row>
    <row r="1322" spans="1:25" ht="18.75" outlineLevel="2">
      <c r="A1322" s="160">
        <v>1</v>
      </c>
      <c r="B1322" s="158" t="s">
        <v>690</v>
      </c>
      <c r="C1322" s="158"/>
      <c r="D1322" s="158"/>
      <c r="E1322" s="158"/>
      <c r="F1322" s="158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4">
        <f t="shared" si="196"/>
        <v>0</v>
      </c>
    </row>
    <row r="1323" spans="1:25" ht="18" outlineLevel="2">
      <c r="A1323" s="160"/>
      <c r="B1323" s="31">
        <f>D1323+G1323+J1323</f>
        <v>60</v>
      </c>
      <c r="C1323" s="31">
        <f>E1323+H1323+K1323</f>
        <v>142.79999999999998</v>
      </c>
      <c r="D1323" s="31">
        <v>60</v>
      </c>
      <c r="E1323" s="8">
        <f>D1323*FORECAST(D1323,AA$12:AA$13,Z$12:Z$13)</f>
        <v>142.79999999999998</v>
      </c>
      <c r="F1323" s="31" t="s">
        <v>433</v>
      </c>
      <c r="G1323" s="31"/>
      <c r="H1323" s="31"/>
      <c r="I1323" s="31"/>
      <c r="J1323" s="31"/>
      <c r="K1323" s="31"/>
      <c r="L1323" s="31"/>
      <c r="M1323" s="31"/>
      <c r="N1323" s="31">
        <v>1100</v>
      </c>
      <c r="O1323" s="8">
        <f>C1323/0.92</f>
        <v>155.2173913043478</v>
      </c>
      <c r="P1323" s="31">
        <v>2</v>
      </c>
      <c r="Q1323" s="31">
        <v>150</v>
      </c>
      <c r="R1323" s="8">
        <f>1.454*C1323</f>
        <v>207.63119999999998</v>
      </c>
      <c r="S1323" s="9">
        <f>E1323*1.454*0.4</f>
        <v>83.05248</v>
      </c>
      <c r="T1323" s="9">
        <f>E1323*1.454*0.2</f>
        <v>41.52624</v>
      </c>
      <c r="U1323" s="9">
        <f>E1323*1.454*0.2</f>
        <v>41.52624</v>
      </c>
      <c r="V1323" s="9">
        <f>E1323*1.454*0.2</f>
        <v>41.52624</v>
      </c>
      <c r="W1323" s="9">
        <f>H1323*1.454</f>
        <v>0</v>
      </c>
      <c r="X1323" s="9">
        <f>K1323*1.454</f>
        <v>0</v>
      </c>
      <c r="Y1323" s="4">
        <f t="shared" si="196"/>
        <v>83.05248</v>
      </c>
    </row>
    <row r="1324" spans="1:25" ht="18.75" outlineLevel="2">
      <c r="A1324" s="160">
        <v>1</v>
      </c>
      <c r="B1324" s="158" t="s">
        <v>357</v>
      </c>
      <c r="C1324" s="158"/>
      <c r="D1324" s="158"/>
      <c r="E1324" s="158"/>
      <c r="F1324" s="158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4">
        <f t="shared" si="196"/>
        <v>0</v>
      </c>
    </row>
    <row r="1325" spans="1:25" ht="18" outlineLevel="2">
      <c r="A1325" s="160"/>
      <c r="B1325" s="31">
        <f>D1325+G1325+J1325</f>
        <v>12</v>
      </c>
      <c r="C1325" s="18">
        <f>E1325+H1325+K1325</f>
        <v>59.52000000000001</v>
      </c>
      <c r="D1325" s="31">
        <v>12</v>
      </c>
      <c r="E1325" s="8">
        <f>D1325*FORECAST(D1325,AA$8:AA$9,Z$8:Z$9)</f>
        <v>59.52000000000001</v>
      </c>
      <c r="F1325" s="31" t="s">
        <v>433</v>
      </c>
      <c r="G1325" s="31"/>
      <c r="H1325" s="31"/>
      <c r="I1325" s="31"/>
      <c r="J1325" s="31"/>
      <c r="K1325" s="31"/>
      <c r="L1325" s="31"/>
      <c r="M1325" s="31"/>
      <c r="N1325" s="31">
        <v>400</v>
      </c>
      <c r="O1325" s="8">
        <f>C1325/0.92</f>
        <v>64.69565217391305</v>
      </c>
      <c r="P1325" s="31">
        <v>1</v>
      </c>
      <c r="Q1325" s="31">
        <v>100</v>
      </c>
      <c r="R1325" s="8">
        <f>1.454*C1325</f>
        <v>86.54208000000001</v>
      </c>
      <c r="S1325" s="9">
        <f>E1325*1.454*0.4</f>
        <v>34.61683200000001</v>
      </c>
      <c r="T1325" s="9">
        <f>E1325*1.454*0.2</f>
        <v>17.308416000000005</v>
      </c>
      <c r="U1325" s="9">
        <f>E1325*1.454*0.2</f>
        <v>17.308416000000005</v>
      </c>
      <c r="V1325" s="9">
        <f>E1325*1.454*0.2</f>
        <v>17.308416000000005</v>
      </c>
      <c r="W1325" s="9">
        <f>H1325*1.454</f>
        <v>0</v>
      </c>
      <c r="X1325" s="9">
        <f>K1325*1.454</f>
        <v>0</v>
      </c>
      <c r="Y1325" s="4">
        <f t="shared" si="196"/>
        <v>34.61683200000001</v>
      </c>
    </row>
    <row r="1326" spans="1:25" ht="18.75" outlineLevel="2">
      <c r="A1326" s="160">
        <v>1</v>
      </c>
      <c r="B1326" s="158" t="s">
        <v>691</v>
      </c>
      <c r="C1326" s="158"/>
      <c r="D1326" s="158"/>
      <c r="E1326" s="158"/>
      <c r="F1326" s="158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4">
        <f t="shared" si="196"/>
        <v>0</v>
      </c>
    </row>
    <row r="1327" spans="1:25" ht="18" outlineLevel="2">
      <c r="A1327" s="160"/>
      <c r="B1327" s="31">
        <f>D1327+G1327+J1327</f>
        <v>113</v>
      </c>
      <c r="C1327" s="18">
        <f>E1327+H1327+K1327</f>
        <v>241.14200000000005</v>
      </c>
      <c r="D1327" s="31">
        <v>113</v>
      </c>
      <c r="E1327" s="8">
        <f>D1327*FORECAST(D1327,AA$14:AA$15,Z$14:Z$15)</f>
        <v>241.14200000000005</v>
      </c>
      <c r="F1327" s="31" t="s">
        <v>433</v>
      </c>
      <c r="G1327" s="31"/>
      <c r="H1327" s="31"/>
      <c r="I1327" s="31"/>
      <c r="J1327" s="31"/>
      <c r="K1327" s="31"/>
      <c r="L1327" s="31"/>
      <c r="M1327" s="31"/>
      <c r="N1327" s="31">
        <v>1000</v>
      </c>
      <c r="O1327" s="8">
        <f>C1327/0.92</f>
        <v>262.11086956521746</v>
      </c>
      <c r="P1327" s="31">
        <v>3</v>
      </c>
      <c r="Q1327" s="31">
        <v>600</v>
      </c>
      <c r="R1327" s="8">
        <f>1.454*C1327</f>
        <v>350.6204680000001</v>
      </c>
      <c r="S1327" s="9">
        <f>E1327*1.454*0.4</f>
        <v>140.24818720000005</v>
      </c>
      <c r="T1327" s="9">
        <f>E1327*1.454*0.2</f>
        <v>70.12409360000002</v>
      </c>
      <c r="U1327" s="9">
        <f>E1327*1.454*0.2</f>
        <v>70.12409360000002</v>
      </c>
      <c r="V1327" s="9">
        <f>E1327*1.454*0.2</f>
        <v>70.12409360000002</v>
      </c>
      <c r="W1327" s="9">
        <f>H1327*1.454</f>
        <v>0</v>
      </c>
      <c r="X1327" s="9">
        <f>K1327*1.454</f>
        <v>0</v>
      </c>
      <c r="Y1327" s="4">
        <f t="shared" si="196"/>
        <v>140.24818720000005</v>
      </c>
    </row>
    <row r="1328" spans="1:25" ht="18.75" outlineLevel="2">
      <c r="A1328" s="160">
        <v>2</v>
      </c>
      <c r="B1328" s="158" t="s">
        <v>358</v>
      </c>
      <c r="C1328" s="158"/>
      <c r="D1328" s="158"/>
      <c r="E1328" s="158"/>
      <c r="F1328" s="158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4">
        <f t="shared" si="196"/>
        <v>0</v>
      </c>
    </row>
    <row r="1329" spans="1:25" ht="18" outlineLevel="2">
      <c r="A1329" s="160"/>
      <c r="B1329" s="31">
        <f>D1329+G1329+J1329</f>
        <v>144</v>
      </c>
      <c r="C1329" s="18">
        <f>E1329+H1329+K1329</f>
        <v>298.368</v>
      </c>
      <c r="D1329" s="31">
        <v>144</v>
      </c>
      <c r="E1329" s="8">
        <f>D1329*FORECAST(D1329,AA$14:AA$15,Z$14:Z$15)</f>
        <v>298.368</v>
      </c>
      <c r="F1329" s="31" t="s">
        <v>433</v>
      </c>
      <c r="G1329" s="31"/>
      <c r="H1329" s="31"/>
      <c r="I1329" s="31"/>
      <c r="J1329" s="31"/>
      <c r="K1329" s="31"/>
      <c r="L1329" s="31"/>
      <c r="M1329" s="31"/>
      <c r="N1329" s="31">
        <v>600</v>
      </c>
      <c r="O1329" s="8">
        <f>C1329/0.92</f>
        <v>324.31304347826085</v>
      </c>
      <c r="P1329" s="31">
        <v>3</v>
      </c>
      <c r="Q1329" s="31">
        <v>750</v>
      </c>
      <c r="R1329" s="8">
        <f>1.454*C1329</f>
        <v>433.827072</v>
      </c>
      <c r="S1329" s="9">
        <f>E1329*1.454*0.4</f>
        <v>173.5308288</v>
      </c>
      <c r="T1329" s="9">
        <f>E1329*1.454*0.2</f>
        <v>86.7654144</v>
      </c>
      <c r="U1329" s="9">
        <f>E1329*1.454*0.2</f>
        <v>86.7654144</v>
      </c>
      <c r="V1329" s="9">
        <f>E1329*1.454*0.2</f>
        <v>86.7654144</v>
      </c>
      <c r="W1329" s="9">
        <f>H1329*1.454</f>
        <v>0</v>
      </c>
      <c r="X1329" s="9">
        <f>K1329*1.454</f>
        <v>0</v>
      </c>
      <c r="Y1329" s="4">
        <f t="shared" si="196"/>
        <v>173.5308288</v>
      </c>
    </row>
    <row r="1330" spans="1:25" ht="18.75" outlineLevel="2">
      <c r="A1330" s="160">
        <v>3</v>
      </c>
      <c r="B1330" s="158" t="s">
        <v>650</v>
      </c>
      <c r="C1330" s="158"/>
      <c r="D1330" s="158"/>
      <c r="E1330" s="158"/>
      <c r="F1330" s="158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4">
        <f t="shared" si="196"/>
        <v>0</v>
      </c>
    </row>
    <row r="1331" spans="1:25" ht="18" outlineLevel="2">
      <c r="A1331" s="160"/>
      <c r="B1331" s="31">
        <f>D1331+G1331+J1331</f>
        <v>65</v>
      </c>
      <c r="C1331" s="18">
        <f>E1331+H1331+K1331</f>
        <v>152.9125</v>
      </c>
      <c r="D1331" s="31">
        <v>65</v>
      </c>
      <c r="E1331" s="8">
        <f>D1331*FORECAST(D1331,AA$13:AA$14,Z$13:Z$14)</f>
        <v>152.9125</v>
      </c>
      <c r="F1331" s="31" t="s">
        <v>433</v>
      </c>
      <c r="G1331" s="31"/>
      <c r="H1331" s="31"/>
      <c r="I1331" s="31"/>
      <c r="J1331" s="31"/>
      <c r="K1331" s="31"/>
      <c r="L1331" s="31"/>
      <c r="M1331" s="31"/>
      <c r="N1331" s="31"/>
      <c r="O1331" s="8">
        <f>C1331/0.92</f>
        <v>166.20923913043478</v>
      </c>
      <c r="P1331" s="31"/>
      <c r="Q1331" s="31"/>
      <c r="R1331" s="8">
        <f>1.454*C1331</f>
        <v>222.33477499999998</v>
      </c>
      <c r="S1331" s="9">
        <f>E1331*1.454*0.4</f>
        <v>88.93391</v>
      </c>
      <c r="T1331" s="9">
        <f>E1331*1.454*0.2</f>
        <v>44.466955</v>
      </c>
      <c r="U1331" s="9">
        <f>E1331*1.454*0.2</f>
        <v>44.466955</v>
      </c>
      <c r="V1331" s="9">
        <f>E1331*1.454*0.2</f>
        <v>44.466955</v>
      </c>
      <c r="W1331" s="9">
        <f>H1331*1.454</f>
        <v>0</v>
      </c>
      <c r="X1331" s="9">
        <f>K1331*1.454</f>
        <v>0</v>
      </c>
      <c r="Y1331" s="4">
        <f t="shared" si="196"/>
        <v>88.93391</v>
      </c>
    </row>
    <row r="1332" spans="1:25" ht="36" outlineLevel="2">
      <c r="A1332" s="6" t="s">
        <v>431</v>
      </c>
      <c r="B1332" s="32">
        <f>B1327+B1329+B1331</f>
        <v>322</v>
      </c>
      <c r="C1332" s="33">
        <f>C1327+C1329+C1331</f>
        <v>692.4225</v>
      </c>
      <c r="D1332" s="32">
        <f>D1327+D1329+D1331</f>
        <v>322</v>
      </c>
      <c r="E1332" s="33">
        <f>E1327+E1329+E1331</f>
        <v>692.4225</v>
      </c>
      <c r="F1332" s="32" t="s">
        <v>433</v>
      </c>
      <c r="G1332" s="32">
        <f>G1327+G1329+G1331</f>
        <v>0</v>
      </c>
      <c r="H1332" s="32">
        <f>H1327+H1329+H1331</f>
        <v>0</v>
      </c>
      <c r="I1332" s="32" t="s">
        <v>441</v>
      </c>
      <c r="J1332" s="32">
        <f>J1327+J1329+J1331</f>
        <v>0</v>
      </c>
      <c r="K1332" s="32">
        <f>K1327+K1329+K1331</f>
        <v>0</v>
      </c>
      <c r="L1332" s="32" t="s">
        <v>441</v>
      </c>
      <c r="M1332" s="32">
        <f aca="true" t="shared" si="198" ref="M1332:X1332">M1327+M1329+M1331</f>
        <v>0</v>
      </c>
      <c r="N1332" s="32">
        <f t="shared" si="198"/>
        <v>1600</v>
      </c>
      <c r="O1332" s="32">
        <f t="shared" si="198"/>
        <v>752.633152173913</v>
      </c>
      <c r="P1332" s="32">
        <f t="shared" si="198"/>
        <v>6</v>
      </c>
      <c r="Q1332" s="32">
        <f t="shared" si="198"/>
        <v>1350</v>
      </c>
      <c r="R1332" s="33">
        <f t="shared" si="198"/>
        <v>1006.7823150000002</v>
      </c>
      <c r="S1332" s="33">
        <f t="shared" si="198"/>
        <v>402.71292600000004</v>
      </c>
      <c r="T1332" s="33">
        <f t="shared" si="198"/>
        <v>201.35646300000002</v>
      </c>
      <c r="U1332" s="33">
        <f t="shared" si="198"/>
        <v>201.35646300000002</v>
      </c>
      <c r="V1332" s="33">
        <f t="shared" si="198"/>
        <v>201.35646300000002</v>
      </c>
      <c r="W1332" s="33">
        <f t="shared" si="198"/>
        <v>0</v>
      </c>
      <c r="X1332" s="33">
        <f t="shared" si="198"/>
        <v>0</v>
      </c>
      <c r="Y1332" s="4">
        <f t="shared" si="196"/>
        <v>402.71292600000004</v>
      </c>
    </row>
    <row r="1333" spans="1:25" ht="18.75" outlineLevel="2">
      <c r="A1333" s="160">
        <v>1</v>
      </c>
      <c r="B1333" s="158" t="s">
        <v>651</v>
      </c>
      <c r="C1333" s="158"/>
      <c r="D1333" s="158"/>
      <c r="E1333" s="158"/>
      <c r="F1333" s="158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4">
        <f t="shared" si="196"/>
        <v>0</v>
      </c>
    </row>
    <row r="1334" spans="1:25" ht="18" outlineLevel="2">
      <c r="A1334" s="160"/>
      <c r="B1334" s="31">
        <f>D1334+G1334+J1334</f>
        <v>65</v>
      </c>
      <c r="C1334" s="18">
        <f>E1334+H1334+K1334</f>
        <v>152.9125</v>
      </c>
      <c r="D1334" s="31">
        <v>65</v>
      </c>
      <c r="E1334" s="8">
        <f>D1334*FORECAST(D1334,AA$13:AA$14,Z$13:Z$14)</f>
        <v>152.9125</v>
      </c>
      <c r="F1334" s="31" t="s">
        <v>433</v>
      </c>
      <c r="G1334" s="31"/>
      <c r="H1334" s="31"/>
      <c r="I1334" s="31"/>
      <c r="J1334" s="31"/>
      <c r="K1334" s="31"/>
      <c r="L1334" s="31"/>
      <c r="M1334" s="31"/>
      <c r="N1334" s="31">
        <v>500</v>
      </c>
      <c r="O1334" s="8">
        <f>C1334/0.92</f>
        <v>166.20923913043478</v>
      </c>
      <c r="P1334" s="31">
        <v>2</v>
      </c>
      <c r="Q1334" s="31">
        <v>150</v>
      </c>
      <c r="R1334" s="8">
        <f>1.454*C1334</f>
        <v>222.33477499999998</v>
      </c>
      <c r="S1334" s="9">
        <f>E1334*1.454*0.4</f>
        <v>88.93391</v>
      </c>
      <c r="T1334" s="9">
        <f>E1334*1.454*0.2</f>
        <v>44.466955</v>
      </c>
      <c r="U1334" s="9">
        <f>E1334*1.454*0.2</f>
        <v>44.466955</v>
      </c>
      <c r="V1334" s="9">
        <f>E1334*1.454*0.2</f>
        <v>44.466955</v>
      </c>
      <c r="W1334" s="9">
        <f>H1334*1.454</f>
        <v>0</v>
      </c>
      <c r="X1334" s="9">
        <f>K1334*1.454</f>
        <v>0</v>
      </c>
      <c r="Y1334" s="4">
        <f t="shared" si="196"/>
        <v>88.93391</v>
      </c>
    </row>
    <row r="1335" spans="1:25" ht="18.75" outlineLevel="2">
      <c r="A1335" s="160">
        <v>1</v>
      </c>
      <c r="B1335" s="158" t="s">
        <v>359</v>
      </c>
      <c r="C1335" s="158"/>
      <c r="D1335" s="158"/>
      <c r="E1335" s="158"/>
      <c r="F1335" s="158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4">
        <f t="shared" si="196"/>
        <v>0</v>
      </c>
    </row>
    <row r="1336" spans="1:25" ht="18" outlineLevel="2">
      <c r="A1336" s="160"/>
      <c r="B1336" s="31">
        <f>D1336+G1336+J1336</f>
        <v>90</v>
      </c>
      <c r="C1336" s="18">
        <f>E1336+H1336+K1336</f>
        <v>199.35</v>
      </c>
      <c r="D1336" s="31">
        <v>90</v>
      </c>
      <c r="E1336" s="8">
        <f>D1336*FORECAST(D1336,AA$13:AA$14,Z$13:Z$14)</f>
        <v>199.35</v>
      </c>
      <c r="F1336" s="31" t="s">
        <v>433</v>
      </c>
      <c r="G1336" s="31"/>
      <c r="H1336" s="31"/>
      <c r="I1336" s="31"/>
      <c r="J1336" s="31"/>
      <c r="K1336" s="31"/>
      <c r="L1336" s="31"/>
      <c r="M1336" s="31"/>
      <c r="N1336" s="31">
        <v>600</v>
      </c>
      <c r="O1336" s="8">
        <f>C1336/0.92</f>
        <v>216.68478260869563</v>
      </c>
      <c r="P1336" s="31">
        <v>1</v>
      </c>
      <c r="Q1336" s="31">
        <v>500</v>
      </c>
      <c r="R1336" s="8">
        <f>1.454*C1336</f>
        <v>289.8549</v>
      </c>
      <c r="S1336" s="9">
        <f>E1336*1.454*0.4</f>
        <v>115.94196</v>
      </c>
      <c r="T1336" s="9">
        <f>E1336*1.454*0.2</f>
        <v>57.97098</v>
      </c>
      <c r="U1336" s="9">
        <f>E1336*1.454*0.2</f>
        <v>57.97098</v>
      </c>
      <c r="V1336" s="9">
        <f>E1336*1.454*0.2</f>
        <v>57.97098</v>
      </c>
      <c r="W1336" s="9">
        <f>H1336*1.454</f>
        <v>0</v>
      </c>
      <c r="X1336" s="9">
        <f>K1336*1.454</f>
        <v>0</v>
      </c>
      <c r="Y1336" s="4">
        <f t="shared" si="196"/>
        <v>115.94196</v>
      </c>
    </row>
    <row r="1337" spans="1:25" ht="18.75" outlineLevel="2">
      <c r="A1337" s="160">
        <v>1</v>
      </c>
      <c r="B1337" s="158" t="s">
        <v>360</v>
      </c>
      <c r="C1337" s="158"/>
      <c r="D1337" s="158"/>
      <c r="E1337" s="158"/>
      <c r="F1337" s="158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4">
        <f t="shared" si="196"/>
        <v>0</v>
      </c>
    </row>
    <row r="1338" spans="1:25" ht="18" outlineLevel="2">
      <c r="A1338" s="160"/>
      <c r="B1338" s="31">
        <f>D1338+G1338+J1338</f>
        <v>120</v>
      </c>
      <c r="C1338" s="31">
        <f>E1338+H1338+K1338</f>
        <v>254.4</v>
      </c>
      <c r="D1338" s="31">
        <v>120</v>
      </c>
      <c r="E1338" s="8">
        <f>D1338*FORECAST(D1338,AA$14:AA$15,Z$14:Z$15)</f>
        <v>254.4</v>
      </c>
      <c r="F1338" s="31" t="s">
        <v>433</v>
      </c>
      <c r="G1338" s="31"/>
      <c r="H1338" s="31"/>
      <c r="I1338" s="31"/>
      <c r="J1338" s="31"/>
      <c r="K1338" s="31"/>
      <c r="L1338" s="31"/>
      <c r="M1338" s="31"/>
      <c r="N1338" s="31">
        <v>800</v>
      </c>
      <c r="O1338" s="8">
        <f>C1338/0.92</f>
        <v>276.52173913043475</v>
      </c>
      <c r="P1338" s="31">
        <v>3</v>
      </c>
      <c r="Q1338" s="31">
        <v>250</v>
      </c>
      <c r="R1338" s="8">
        <f>1.454*C1338</f>
        <v>369.8976</v>
      </c>
      <c r="S1338" s="9">
        <f>E1338*1.454*0.4</f>
        <v>147.95904000000002</v>
      </c>
      <c r="T1338" s="9">
        <f>E1338*1.454*0.2</f>
        <v>73.97952000000001</v>
      </c>
      <c r="U1338" s="9">
        <f>E1338*1.454*0.2</f>
        <v>73.97952000000001</v>
      </c>
      <c r="V1338" s="9">
        <f>E1338*1.454*0.2</f>
        <v>73.97952000000001</v>
      </c>
      <c r="W1338" s="9">
        <f>H1338*1.454</f>
        <v>0</v>
      </c>
      <c r="X1338" s="9">
        <f>K1338*1.454</f>
        <v>0</v>
      </c>
      <c r="Y1338" s="4">
        <f t="shared" si="196"/>
        <v>147.95904000000002</v>
      </c>
    </row>
    <row r="1339" spans="1:24" ht="18.75" outlineLevel="2">
      <c r="A1339" s="160">
        <v>1</v>
      </c>
      <c r="B1339" s="158" t="s">
        <v>714</v>
      </c>
      <c r="C1339" s="158"/>
      <c r="D1339" s="158"/>
      <c r="E1339" s="158"/>
      <c r="F1339" s="158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</row>
    <row r="1340" spans="1:24" ht="18" outlineLevel="2">
      <c r="A1340" s="160"/>
      <c r="B1340" s="31">
        <v>88</v>
      </c>
      <c r="C1340" s="31">
        <v>300</v>
      </c>
      <c r="D1340" s="31">
        <v>88</v>
      </c>
      <c r="E1340" s="8">
        <v>300</v>
      </c>
      <c r="F1340" s="31" t="s">
        <v>433</v>
      </c>
      <c r="G1340" s="31"/>
      <c r="H1340" s="31"/>
      <c r="I1340" s="31"/>
      <c r="J1340" s="31"/>
      <c r="K1340" s="31"/>
      <c r="L1340" s="31"/>
      <c r="M1340" s="31">
        <v>17</v>
      </c>
      <c r="N1340" s="31">
        <v>1850</v>
      </c>
      <c r="O1340" s="8">
        <v>250</v>
      </c>
      <c r="P1340" s="31">
        <v>1</v>
      </c>
      <c r="Q1340" s="31">
        <v>250</v>
      </c>
      <c r="R1340" s="8">
        <v>378.516</v>
      </c>
      <c r="S1340" s="9">
        <f>R1340*0.4</f>
        <v>151.40640000000002</v>
      </c>
      <c r="T1340" s="9">
        <f>R1340*0.2</f>
        <v>75.70320000000001</v>
      </c>
      <c r="U1340" s="9">
        <f>R1340*0.2</f>
        <v>75.70320000000001</v>
      </c>
      <c r="V1340" s="9">
        <f>R1340*0.2</f>
        <v>75.70320000000001</v>
      </c>
      <c r="W1340" s="9">
        <f>H1340*1.454</f>
        <v>0</v>
      </c>
      <c r="X1340" s="9">
        <f>K1340*1.454</f>
        <v>0</v>
      </c>
    </row>
    <row r="1341" spans="1:24" s="59" customFormat="1" ht="16.5" customHeight="1">
      <c r="A1341" s="158" t="s">
        <v>61</v>
      </c>
      <c r="B1341" s="158"/>
      <c r="C1341" s="158"/>
      <c r="D1341" s="158"/>
      <c r="E1341" s="158"/>
      <c r="F1341" s="158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91"/>
    </row>
    <row r="1342" spans="1:24" s="59" customFormat="1" ht="18.75">
      <c r="A1342" s="79">
        <v>1</v>
      </c>
      <c r="B1342" s="79">
        <v>96</v>
      </c>
      <c r="C1342" s="79">
        <v>250</v>
      </c>
      <c r="D1342" s="79">
        <v>96</v>
      </c>
      <c r="E1342" s="79">
        <v>250</v>
      </c>
      <c r="F1342" s="79" t="s">
        <v>433</v>
      </c>
      <c r="G1342" s="79"/>
      <c r="H1342" s="79"/>
      <c r="I1342" s="79"/>
      <c r="J1342" s="79"/>
      <c r="K1342" s="79"/>
      <c r="L1342" s="79"/>
      <c r="M1342" s="79"/>
      <c r="N1342" s="79">
        <v>4580</v>
      </c>
      <c r="O1342" s="79">
        <v>250</v>
      </c>
      <c r="P1342" s="79">
        <v>1</v>
      </c>
      <c r="Q1342" s="79">
        <v>250</v>
      </c>
      <c r="R1342" s="80">
        <v>255.576</v>
      </c>
      <c r="S1342" s="80">
        <f>R1342*0.4</f>
        <v>102.2304</v>
      </c>
      <c r="T1342" s="80">
        <f>R1342*0.2</f>
        <v>51.1152</v>
      </c>
      <c r="U1342" s="80">
        <v>51.115</v>
      </c>
      <c r="V1342" s="80">
        <v>51.115</v>
      </c>
      <c r="W1342" s="80">
        <v>0</v>
      </c>
      <c r="X1342" s="80">
        <v>0</v>
      </c>
    </row>
    <row r="1343" spans="1:24" s="59" customFormat="1" ht="16.5" customHeight="1">
      <c r="A1343" s="158" t="s">
        <v>62</v>
      </c>
      <c r="B1343" s="158"/>
      <c r="C1343" s="158"/>
      <c r="D1343" s="158"/>
      <c r="E1343" s="158"/>
      <c r="F1343" s="158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91"/>
    </row>
    <row r="1344" spans="1:24" s="59" customFormat="1" ht="12.75" customHeight="1">
      <c r="A1344" s="79">
        <v>1</v>
      </c>
      <c r="B1344" s="79">
        <v>94</v>
      </c>
      <c r="C1344" s="79">
        <v>362</v>
      </c>
      <c r="D1344" s="79">
        <v>94</v>
      </c>
      <c r="E1344" s="79">
        <v>362</v>
      </c>
      <c r="F1344" s="79" t="s">
        <v>433</v>
      </c>
      <c r="G1344" s="79"/>
      <c r="H1344" s="79"/>
      <c r="I1344" s="79"/>
      <c r="J1344" s="79"/>
      <c r="K1344" s="79"/>
      <c r="L1344" s="79"/>
      <c r="M1344" s="79">
        <v>250</v>
      </c>
      <c r="N1344" s="79">
        <v>3900</v>
      </c>
      <c r="O1344" s="79">
        <v>400</v>
      </c>
      <c r="P1344" s="79">
        <v>1</v>
      </c>
      <c r="Q1344" s="79">
        <v>400</v>
      </c>
      <c r="R1344" s="80">
        <v>487.842</v>
      </c>
      <c r="S1344" s="80">
        <f>R1344*0.4</f>
        <v>195.1368</v>
      </c>
      <c r="T1344" s="80">
        <f>R1344*0.2</f>
        <v>97.5684</v>
      </c>
      <c r="U1344" s="80">
        <v>97.568</v>
      </c>
      <c r="V1344" s="80">
        <v>97.568</v>
      </c>
      <c r="W1344" s="80">
        <v>0</v>
      </c>
      <c r="X1344" s="80">
        <v>0</v>
      </c>
    </row>
    <row r="1345" spans="1:24" s="59" customFormat="1" ht="16.5" customHeight="1">
      <c r="A1345" s="158" t="s">
        <v>742</v>
      </c>
      <c r="B1345" s="158"/>
      <c r="C1345" s="158"/>
      <c r="D1345" s="158"/>
      <c r="E1345" s="158"/>
      <c r="F1345" s="158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91"/>
    </row>
    <row r="1346" spans="1:24" s="59" customFormat="1" ht="18.75">
      <c r="A1346" s="79">
        <v>1</v>
      </c>
      <c r="B1346" s="79">
        <v>31</v>
      </c>
      <c r="C1346" s="79">
        <v>93</v>
      </c>
      <c r="D1346" s="79">
        <v>31</v>
      </c>
      <c r="E1346" s="79">
        <v>93</v>
      </c>
      <c r="F1346" s="79" t="s">
        <v>433</v>
      </c>
      <c r="G1346" s="79"/>
      <c r="H1346" s="79"/>
      <c r="I1346" s="79"/>
      <c r="J1346" s="79"/>
      <c r="K1346" s="79"/>
      <c r="L1346" s="79"/>
      <c r="M1346" s="79"/>
      <c r="N1346" s="79">
        <v>1500</v>
      </c>
      <c r="O1346" s="79">
        <v>93</v>
      </c>
      <c r="P1346" s="79">
        <v>1</v>
      </c>
      <c r="Q1346" s="79">
        <v>100</v>
      </c>
      <c r="R1346" s="80">
        <v>245</v>
      </c>
      <c r="S1346" s="80">
        <f>R1346*0.4</f>
        <v>98</v>
      </c>
      <c r="T1346" s="80">
        <f>R1346*0.2</f>
        <v>49</v>
      </c>
      <c r="U1346" s="80">
        <v>49</v>
      </c>
      <c r="V1346" s="80">
        <v>49</v>
      </c>
      <c r="W1346" s="80">
        <v>0</v>
      </c>
      <c r="X1346" s="80">
        <v>0</v>
      </c>
    </row>
    <row r="1347" spans="1:24" s="59" customFormat="1" ht="16.5" customHeight="1">
      <c r="A1347" s="158" t="s">
        <v>100</v>
      </c>
      <c r="B1347" s="158"/>
      <c r="C1347" s="158"/>
      <c r="D1347" s="158"/>
      <c r="E1347" s="158"/>
      <c r="F1347" s="158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91"/>
    </row>
    <row r="1348" spans="1:24" s="59" customFormat="1" ht="12.75" customHeight="1">
      <c r="A1348" s="79">
        <v>2</v>
      </c>
      <c r="B1348" s="79">
        <v>15</v>
      </c>
      <c r="C1348" s="79">
        <v>45</v>
      </c>
      <c r="D1348" s="79">
        <v>15</v>
      </c>
      <c r="E1348" s="79">
        <v>45</v>
      </c>
      <c r="F1348" s="79" t="s">
        <v>433</v>
      </c>
      <c r="G1348" s="79"/>
      <c r="H1348" s="79"/>
      <c r="I1348" s="79"/>
      <c r="J1348" s="79"/>
      <c r="K1348" s="79"/>
      <c r="L1348" s="79"/>
      <c r="M1348" s="79"/>
      <c r="N1348" s="79">
        <v>700</v>
      </c>
      <c r="O1348" s="79">
        <v>45</v>
      </c>
      <c r="P1348" s="79"/>
      <c r="Q1348" s="79"/>
      <c r="R1348" s="80">
        <v>122</v>
      </c>
      <c r="S1348" s="80">
        <f>R1348*0.4</f>
        <v>48.800000000000004</v>
      </c>
      <c r="T1348" s="80">
        <f>R1348*0.2</f>
        <v>24.400000000000002</v>
      </c>
      <c r="U1348" s="80">
        <v>24.4</v>
      </c>
      <c r="V1348" s="80">
        <v>24.4</v>
      </c>
      <c r="W1348" s="80">
        <v>0</v>
      </c>
      <c r="X1348" s="80">
        <v>0</v>
      </c>
    </row>
    <row r="1349" spans="1:24" s="59" customFormat="1" ht="36">
      <c r="A1349" s="6" t="s">
        <v>431</v>
      </c>
      <c r="B1349" s="79">
        <f>B1348+B1346</f>
        <v>46</v>
      </c>
      <c r="C1349" s="79">
        <f>C1348+C1346</f>
        <v>138</v>
      </c>
      <c r="D1349" s="79">
        <f>D1348+D1346</f>
        <v>46</v>
      </c>
      <c r="E1349" s="79">
        <f>E1348+E1346</f>
        <v>138</v>
      </c>
      <c r="F1349" s="79" t="s">
        <v>433</v>
      </c>
      <c r="G1349" s="79"/>
      <c r="H1349" s="79"/>
      <c r="I1349" s="79"/>
      <c r="J1349" s="79"/>
      <c r="K1349" s="79"/>
      <c r="L1349" s="79"/>
      <c r="M1349" s="79"/>
      <c r="N1349" s="79">
        <f aca="true" t="shared" si="199" ref="N1349:X1349">N1348+N1346</f>
        <v>2200</v>
      </c>
      <c r="O1349" s="79">
        <f t="shared" si="199"/>
        <v>138</v>
      </c>
      <c r="P1349" s="79">
        <f t="shared" si="199"/>
        <v>1</v>
      </c>
      <c r="Q1349" s="79">
        <f t="shared" si="199"/>
        <v>100</v>
      </c>
      <c r="R1349" s="80">
        <f t="shared" si="199"/>
        <v>367</v>
      </c>
      <c r="S1349" s="80">
        <f t="shared" si="199"/>
        <v>146.8</v>
      </c>
      <c r="T1349" s="80">
        <f t="shared" si="199"/>
        <v>73.4</v>
      </c>
      <c r="U1349" s="80">
        <f t="shared" si="199"/>
        <v>73.4</v>
      </c>
      <c r="V1349" s="80">
        <f t="shared" si="199"/>
        <v>73.4</v>
      </c>
      <c r="W1349" s="80">
        <f t="shared" si="199"/>
        <v>0</v>
      </c>
      <c r="X1349" s="80">
        <f t="shared" si="199"/>
        <v>0</v>
      </c>
    </row>
    <row r="1350" spans="1:24" s="59" customFormat="1" ht="17.25" customHeight="1">
      <c r="A1350" s="158" t="s">
        <v>63</v>
      </c>
      <c r="B1350" s="158"/>
      <c r="C1350" s="158"/>
      <c r="D1350" s="158"/>
      <c r="E1350" s="158"/>
      <c r="F1350" s="158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91"/>
    </row>
    <row r="1351" spans="1:24" s="59" customFormat="1" ht="12.75" customHeight="1">
      <c r="A1351" s="79">
        <v>1</v>
      </c>
      <c r="B1351" s="79">
        <v>24</v>
      </c>
      <c r="C1351" s="79">
        <v>80.4</v>
      </c>
      <c r="D1351" s="79">
        <v>24</v>
      </c>
      <c r="E1351" s="79">
        <v>80.4</v>
      </c>
      <c r="F1351" s="79" t="s">
        <v>433</v>
      </c>
      <c r="G1351" s="79"/>
      <c r="H1351" s="79"/>
      <c r="I1351" s="79"/>
      <c r="J1351" s="79"/>
      <c r="K1351" s="79"/>
      <c r="L1351" s="79"/>
      <c r="M1351" s="79"/>
      <c r="N1351" s="79">
        <v>800</v>
      </c>
      <c r="O1351" s="79">
        <v>86.9</v>
      </c>
      <c r="P1351" s="79">
        <v>1</v>
      </c>
      <c r="Q1351" s="79">
        <v>150</v>
      </c>
      <c r="R1351" s="80">
        <v>116.9</v>
      </c>
      <c r="S1351" s="80">
        <f>R1351*0.4</f>
        <v>46.760000000000005</v>
      </c>
      <c r="T1351" s="80">
        <f>R1351*0.2</f>
        <v>23.380000000000003</v>
      </c>
      <c r="U1351" s="80">
        <v>23.4</v>
      </c>
      <c r="V1351" s="80">
        <v>23.4</v>
      </c>
      <c r="W1351" s="80">
        <v>0</v>
      </c>
      <c r="X1351" s="80">
        <v>0</v>
      </c>
    </row>
    <row r="1352" spans="1:24" s="59" customFormat="1" ht="17.25" customHeight="1">
      <c r="A1352" s="158" t="s">
        <v>64</v>
      </c>
      <c r="B1352" s="158"/>
      <c r="C1352" s="158"/>
      <c r="D1352" s="158"/>
      <c r="E1352" s="158"/>
      <c r="F1352" s="158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91"/>
    </row>
    <row r="1353" spans="1:24" s="59" customFormat="1" ht="12.75" customHeight="1">
      <c r="A1353" s="79">
        <v>2</v>
      </c>
      <c r="B1353" s="79">
        <v>20</v>
      </c>
      <c r="C1353" s="79">
        <v>74.6</v>
      </c>
      <c r="D1353" s="79">
        <v>20</v>
      </c>
      <c r="E1353" s="79">
        <v>74.6</v>
      </c>
      <c r="F1353" s="79" t="s">
        <v>433</v>
      </c>
      <c r="G1353" s="79"/>
      <c r="H1353" s="79"/>
      <c r="I1353" s="79"/>
      <c r="J1353" s="79"/>
      <c r="K1353" s="79"/>
      <c r="L1353" s="79"/>
      <c r="M1353" s="79"/>
      <c r="N1353" s="79">
        <v>600</v>
      </c>
      <c r="O1353" s="79">
        <v>81.1</v>
      </c>
      <c r="P1353" s="79">
        <v>1</v>
      </c>
      <c r="Q1353" s="79">
        <v>150</v>
      </c>
      <c r="R1353" s="80">
        <v>108.5</v>
      </c>
      <c r="S1353" s="80">
        <f>R1353*0.4</f>
        <v>43.400000000000006</v>
      </c>
      <c r="T1353" s="80">
        <f>R1353*0.2</f>
        <v>21.700000000000003</v>
      </c>
      <c r="U1353" s="80">
        <v>21.7</v>
      </c>
      <c r="V1353" s="80">
        <v>21.7</v>
      </c>
      <c r="W1353" s="80">
        <v>0</v>
      </c>
      <c r="X1353" s="80">
        <v>0</v>
      </c>
    </row>
    <row r="1354" spans="1:24" s="59" customFormat="1" ht="17.25" customHeight="1">
      <c r="A1354" s="158" t="s">
        <v>65</v>
      </c>
      <c r="B1354" s="158"/>
      <c r="C1354" s="158"/>
      <c r="D1354" s="158"/>
      <c r="E1354" s="158"/>
      <c r="F1354" s="158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91"/>
    </row>
    <row r="1355" spans="1:24" s="59" customFormat="1" ht="12.75" customHeight="1">
      <c r="A1355" s="79">
        <v>3</v>
      </c>
      <c r="B1355" s="79">
        <v>40</v>
      </c>
      <c r="C1355" s="79">
        <v>106.4</v>
      </c>
      <c r="D1355" s="79">
        <v>40</v>
      </c>
      <c r="E1355" s="79">
        <v>106.4</v>
      </c>
      <c r="F1355" s="79" t="s">
        <v>433</v>
      </c>
      <c r="G1355" s="79"/>
      <c r="H1355" s="79"/>
      <c r="I1355" s="79"/>
      <c r="J1355" s="79"/>
      <c r="K1355" s="79"/>
      <c r="L1355" s="79"/>
      <c r="M1355" s="79"/>
      <c r="N1355" s="79">
        <v>1200</v>
      </c>
      <c r="O1355" s="80">
        <v>115.6</v>
      </c>
      <c r="P1355" s="79">
        <v>2</v>
      </c>
      <c r="Q1355" s="79">
        <v>200</v>
      </c>
      <c r="R1355" s="80">
        <v>154.7</v>
      </c>
      <c r="S1355" s="80">
        <f>R1355*0.4</f>
        <v>61.879999999999995</v>
      </c>
      <c r="T1355" s="80">
        <f>R1355*0.2</f>
        <v>30.939999999999998</v>
      </c>
      <c r="U1355" s="80">
        <v>30.9</v>
      </c>
      <c r="V1355" s="80">
        <v>30.9</v>
      </c>
      <c r="W1355" s="80">
        <v>0</v>
      </c>
      <c r="X1355" s="80">
        <v>0</v>
      </c>
    </row>
    <row r="1356" spans="1:24" s="59" customFormat="1" ht="36">
      <c r="A1356" s="6" t="s">
        <v>431</v>
      </c>
      <c r="B1356" s="79">
        <f>B1355+B1353+B1351</f>
        <v>84</v>
      </c>
      <c r="C1356" s="79">
        <f>C1355+C1353+C1351</f>
        <v>261.4</v>
      </c>
      <c r="D1356" s="79">
        <f>D1355+D1353+D1351</f>
        <v>84</v>
      </c>
      <c r="E1356" s="79">
        <f>E1355+E1353+E1351</f>
        <v>261.4</v>
      </c>
      <c r="F1356" s="79" t="s">
        <v>433</v>
      </c>
      <c r="G1356" s="79"/>
      <c r="H1356" s="79"/>
      <c r="I1356" s="79"/>
      <c r="J1356" s="79"/>
      <c r="K1356" s="79"/>
      <c r="L1356" s="79"/>
      <c r="M1356" s="79"/>
      <c r="N1356" s="79">
        <f aca="true" t="shared" si="200" ref="N1356:X1356">N1355+N1353+N1351</f>
        <v>2600</v>
      </c>
      <c r="O1356" s="80">
        <f t="shared" si="200"/>
        <v>283.6</v>
      </c>
      <c r="P1356" s="79">
        <f t="shared" si="200"/>
        <v>4</v>
      </c>
      <c r="Q1356" s="79">
        <f t="shared" si="200"/>
        <v>500</v>
      </c>
      <c r="R1356" s="80">
        <f t="shared" si="200"/>
        <v>380.1</v>
      </c>
      <c r="S1356" s="80">
        <f t="shared" si="200"/>
        <v>152.04000000000002</v>
      </c>
      <c r="T1356" s="80">
        <f t="shared" si="200"/>
        <v>76.02000000000001</v>
      </c>
      <c r="U1356" s="80">
        <f t="shared" si="200"/>
        <v>76</v>
      </c>
      <c r="V1356" s="80">
        <f t="shared" si="200"/>
        <v>76</v>
      </c>
      <c r="W1356" s="80">
        <f t="shared" si="200"/>
        <v>0</v>
      </c>
      <c r="X1356" s="80">
        <f t="shared" si="200"/>
        <v>0</v>
      </c>
    </row>
    <row r="1357" spans="1:24" s="59" customFormat="1" ht="17.25" customHeight="1">
      <c r="A1357" s="158" t="s">
        <v>99</v>
      </c>
      <c r="B1357" s="158"/>
      <c r="C1357" s="158"/>
      <c r="D1357" s="158"/>
      <c r="E1357" s="158"/>
      <c r="F1357" s="158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91"/>
    </row>
    <row r="1358" spans="1:24" s="59" customFormat="1" ht="18.75">
      <c r="A1358" s="79" t="s">
        <v>699</v>
      </c>
      <c r="B1358" s="79">
        <v>20</v>
      </c>
      <c r="C1358" s="79">
        <v>74.6</v>
      </c>
      <c r="D1358" s="79">
        <v>20</v>
      </c>
      <c r="E1358" s="79">
        <v>74.6</v>
      </c>
      <c r="F1358" s="79" t="s">
        <v>433</v>
      </c>
      <c r="G1358" s="79"/>
      <c r="H1358" s="79"/>
      <c r="I1358" s="79"/>
      <c r="J1358" s="79"/>
      <c r="K1358" s="79"/>
      <c r="L1358" s="79"/>
      <c r="M1358" s="79"/>
      <c r="N1358" s="79">
        <v>600</v>
      </c>
      <c r="O1358" s="80">
        <v>81.1</v>
      </c>
      <c r="P1358" s="79">
        <v>1</v>
      </c>
      <c r="Q1358" s="79">
        <v>150</v>
      </c>
      <c r="R1358" s="80">
        <v>108.5</v>
      </c>
      <c r="S1358" s="80">
        <f>R1358*0.4</f>
        <v>43.400000000000006</v>
      </c>
      <c r="T1358" s="80">
        <f>R1358*0.2</f>
        <v>21.700000000000003</v>
      </c>
      <c r="U1358" s="80">
        <v>21.7</v>
      </c>
      <c r="V1358" s="80">
        <v>21.7</v>
      </c>
      <c r="W1358" s="80">
        <v>0</v>
      </c>
      <c r="X1358" s="80">
        <v>0</v>
      </c>
    </row>
    <row r="1359" spans="1:25" ht="36" outlineLevel="1">
      <c r="A1359" s="7" t="s">
        <v>437</v>
      </c>
      <c r="B1359" s="38">
        <f>B1321+B1323+B1325+B1332+B1334+B1336+B1338+B1319+B1304+B1191+B1358+B1356+B1349+B1344+B1342+B1340</f>
        <v>3019</v>
      </c>
      <c r="C1359" s="38">
        <f aca="true" t="shared" si="201" ref="C1359:X1359">C1321+C1323+C1325+C1332+C1334+C1336+C1338+C1319+C1304+C1191+C1358+C1356+C1349+C1344+C1342+C1340</f>
        <v>10041.5075</v>
      </c>
      <c r="D1359" s="38">
        <f t="shared" si="201"/>
        <v>3010</v>
      </c>
      <c r="E1359" s="38">
        <f t="shared" si="201"/>
        <v>9215.5075</v>
      </c>
      <c r="F1359" s="35" t="s">
        <v>433</v>
      </c>
      <c r="G1359" s="38">
        <f t="shared" si="201"/>
        <v>1</v>
      </c>
      <c r="H1359" s="38">
        <f t="shared" si="201"/>
        <v>500</v>
      </c>
      <c r="I1359" s="35" t="s">
        <v>433</v>
      </c>
      <c r="J1359" s="38">
        <f t="shared" si="201"/>
        <v>8</v>
      </c>
      <c r="K1359" s="38">
        <f t="shared" si="201"/>
        <v>326</v>
      </c>
      <c r="L1359" s="35" t="s">
        <v>433</v>
      </c>
      <c r="M1359" s="35">
        <f t="shared" si="201"/>
        <v>1357</v>
      </c>
      <c r="N1359" s="35">
        <f t="shared" si="201"/>
        <v>66920</v>
      </c>
      <c r="O1359" s="35">
        <f t="shared" si="201"/>
        <v>10780.42554347826</v>
      </c>
      <c r="P1359" s="38">
        <f t="shared" si="201"/>
        <v>101</v>
      </c>
      <c r="Q1359" s="38">
        <f t="shared" si="201"/>
        <v>15450</v>
      </c>
      <c r="R1359" s="35">
        <f t="shared" si="201"/>
        <v>14543.106904999995</v>
      </c>
      <c r="S1359" s="35">
        <f t="shared" si="201"/>
        <v>5336.841162</v>
      </c>
      <c r="T1359" s="35">
        <f t="shared" si="201"/>
        <v>2668.420581</v>
      </c>
      <c r="U1359" s="35">
        <f t="shared" si="201"/>
        <v>2668.3999809999996</v>
      </c>
      <c r="V1359" s="35">
        <f t="shared" si="201"/>
        <v>2668.3999809999996</v>
      </c>
      <c r="W1359" s="35">
        <f t="shared" si="201"/>
        <v>727</v>
      </c>
      <c r="X1359" s="35">
        <f t="shared" si="201"/>
        <v>474.00399999999996</v>
      </c>
      <c r="Y1359" s="4">
        <f t="shared" si="196"/>
        <v>5336.799961999999</v>
      </c>
    </row>
    <row r="1360" spans="1:25" ht="12.75" customHeight="1" outlineLevel="1">
      <c r="A1360" s="149" t="s">
        <v>458</v>
      </c>
      <c r="B1360" s="149"/>
      <c r="C1360" s="149"/>
      <c r="D1360" s="149"/>
      <c r="E1360" s="149"/>
      <c r="F1360" s="149"/>
      <c r="G1360" s="149"/>
      <c r="H1360" s="149"/>
      <c r="I1360" s="149"/>
      <c r="J1360" s="149"/>
      <c r="K1360" s="149"/>
      <c r="L1360" s="149"/>
      <c r="M1360" s="149"/>
      <c r="N1360" s="149"/>
      <c r="O1360" s="149"/>
      <c r="P1360" s="149"/>
      <c r="Q1360" s="149"/>
      <c r="R1360" s="149"/>
      <c r="S1360" s="149"/>
      <c r="T1360" s="149"/>
      <c r="U1360" s="149"/>
      <c r="V1360" s="149"/>
      <c r="W1360" s="149"/>
      <c r="X1360" s="149"/>
      <c r="Y1360" s="4">
        <f t="shared" si="196"/>
        <v>0</v>
      </c>
    </row>
    <row r="1361" spans="1:25" ht="18.75" outlineLevel="2">
      <c r="A1361" s="160">
        <v>1</v>
      </c>
      <c r="B1361" s="158" t="s">
        <v>361</v>
      </c>
      <c r="C1361" s="158"/>
      <c r="D1361" s="158"/>
      <c r="E1361" s="158"/>
      <c r="F1361" s="158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4">
        <f t="shared" si="196"/>
        <v>0</v>
      </c>
    </row>
    <row r="1362" spans="1:25" ht="18" outlineLevel="2">
      <c r="A1362" s="160"/>
      <c r="B1362" s="31">
        <f>D1362+G1362+J1362</f>
        <v>11</v>
      </c>
      <c r="C1362" s="18">
        <f>E1362+H1362+K1362</f>
        <v>57.67666666666668</v>
      </c>
      <c r="D1362" s="31">
        <v>11</v>
      </c>
      <c r="E1362" s="8">
        <f>D1362*FORECAST(D1362,AA$7:AA$8,Z$7:Z$8)</f>
        <v>57.67666666666668</v>
      </c>
      <c r="F1362" s="31" t="s">
        <v>433</v>
      </c>
      <c r="G1362" s="31"/>
      <c r="H1362" s="31"/>
      <c r="I1362" s="31"/>
      <c r="J1362" s="31"/>
      <c r="K1362" s="31"/>
      <c r="L1362" s="31"/>
      <c r="M1362" s="31"/>
      <c r="N1362" s="31">
        <v>400</v>
      </c>
      <c r="O1362" s="8">
        <f>C1362/0.92</f>
        <v>62.69202898550726</v>
      </c>
      <c r="P1362" s="31">
        <v>1</v>
      </c>
      <c r="Q1362" s="31">
        <v>100</v>
      </c>
      <c r="R1362" s="8">
        <f>1.454*C1362</f>
        <v>83.86187333333335</v>
      </c>
      <c r="S1362" s="9">
        <f>E1362*1.454*0.4</f>
        <v>33.54474933333334</v>
      </c>
      <c r="T1362" s="9">
        <f>E1362*1.454*0.2</f>
        <v>16.77237466666667</v>
      </c>
      <c r="U1362" s="9">
        <f>E1362*1.454*0.2</f>
        <v>16.77237466666667</v>
      </c>
      <c r="V1362" s="9">
        <f>E1362*1.454*0.2</f>
        <v>16.77237466666667</v>
      </c>
      <c r="W1362" s="9">
        <f>H1362*1.454</f>
        <v>0</v>
      </c>
      <c r="X1362" s="9">
        <f>K1362*1.454</f>
        <v>0</v>
      </c>
      <c r="Y1362" s="4">
        <f t="shared" si="196"/>
        <v>33.54474933333334</v>
      </c>
    </row>
    <row r="1363" spans="1:25" ht="18.75" outlineLevel="2">
      <c r="A1363" s="160">
        <v>1</v>
      </c>
      <c r="B1363" s="158" t="s">
        <v>692</v>
      </c>
      <c r="C1363" s="158"/>
      <c r="D1363" s="158"/>
      <c r="E1363" s="158"/>
      <c r="F1363" s="158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4">
        <f t="shared" si="196"/>
        <v>0</v>
      </c>
    </row>
    <row r="1364" spans="1:25" ht="18" outlineLevel="2">
      <c r="A1364" s="160"/>
      <c r="B1364" s="31">
        <f>D1364+G1364+J1364</f>
        <v>30</v>
      </c>
      <c r="C1364" s="18">
        <f>E1364+H1364+K1364</f>
        <v>92.73749999999998</v>
      </c>
      <c r="D1364" s="31">
        <v>30</v>
      </c>
      <c r="E1364" s="8">
        <f>D1364*FORECAST(D1364,AA$11:AA$12,Z$11:Z$12)</f>
        <v>92.73749999999998</v>
      </c>
      <c r="F1364" s="31" t="s">
        <v>433</v>
      </c>
      <c r="G1364" s="31"/>
      <c r="H1364" s="31"/>
      <c r="I1364" s="31"/>
      <c r="J1364" s="31"/>
      <c r="K1364" s="31"/>
      <c r="L1364" s="31"/>
      <c r="M1364" s="31"/>
      <c r="N1364" s="31">
        <v>900</v>
      </c>
      <c r="O1364" s="8">
        <f>C1364/0.92</f>
        <v>100.80163043478258</v>
      </c>
      <c r="P1364" s="31">
        <v>1</v>
      </c>
      <c r="Q1364" s="31">
        <v>150</v>
      </c>
      <c r="R1364" s="8">
        <f>1.454*C1364</f>
        <v>134.84032499999998</v>
      </c>
      <c r="S1364" s="9">
        <f>E1364*1.454*0.4</f>
        <v>53.93612999999999</v>
      </c>
      <c r="T1364" s="9">
        <f>E1364*1.454*0.2</f>
        <v>26.968064999999996</v>
      </c>
      <c r="U1364" s="9">
        <f>E1364*1.454*0.2</f>
        <v>26.968064999999996</v>
      </c>
      <c r="V1364" s="9">
        <f>E1364*1.454*0.2</f>
        <v>26.968064999999996</v>
      </c>
      <c r="W1364" s="9">
        <f>H1364*1.454</f>
        <v>0</v>
      </c>
      <c r="X1364" s="9">
        <f>K1364*1.454</f>
        <v>0</v>
      </c>
      <c r="Y1364" s="4">
        <f t="shared" si="196"/>
        <v>53.93612999999999</v>
      </c>
    </row>
    <row r="1365" spans="1:25" ht="18.75" outlineLevel="2">
      <c r="A1365" s="160">
        <v>1</v>
      </c>
      <c r="B1365" s="158" t="s">
        <v>362</v>
      </c>
      <c r="C1365" s="158"/>
      <c r="D1365" s="158"/>
      <c r="E1365" s="158"/>
      <c r="F1365" s="158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4">
        <f t="shared" si="196"/>
        <v>0</v>
      </c>
    </row>
    <row r="1366" spans="1:25" ht="18" outlineLevel="2">
      <c r="A1366" s="160"/>
      <c r="B1366" s="31">
        <f>D1366+G1366+J1366</f>
        <v>30</v>
      </c>
      <c r="C1366" s="18">
        <f>E1366+H1366+K1366</f>
        <v>92.73749999999998</v>
      </c>
      <c r="D1366" s="31">
        <v>30</v>
      </c>
      <c r="E1366" s="8">
        <f>D1366*FORECAST(D1366,AA$11:AA$12,Z$11:Z$12)</f>
        <v>92.73749999999998</v>
      </c>
      <c r="F1366" s="31" t="s">
        <v>433</v>
      </c>
      <c r="G1366" s="31"/>
      <c r="H1366" s="31"/>
      <c r="I1366" s="31"/>
      <c r="J1366" s="31"/>
      <c r="K1366" s="31"/>
      <c r="L1366" s="31"/>
      <c r="M1366" s="31"/>
      <c r="N1366" s="31">
        <v>900</v>
      </c>
      <c r="O1366" s="8">
        <f>C1366/0.92</f>
        <v>100.80163043478258</v>
      </c>
      <c r="P1366" s="31">
        <v>1</v>
      </c>
      <c r="Q1366" s="31">
        <v>150</v>
      </c>
      <c r="R1366" s="8">
        <f>1.454*C1366</f>
        <v>134.84032499999998</v>
      </c>
      <c r="S1366" s="9">
        <f>E1366*1.454*0.4</f>
        <v>53.93612999999999</v>
      </c>
      <c r="T1366" s="9">
        <f>E1366*1.454*0.2</f>
        <v>26.968064999999996</v>
      </c>
      <c r="U1366" s="9">
        <f>E1366*1.454*0.2</f>
        <v>26.968064999999996</v>
      </c>
      <c r="V1366" s="9">
        <f>E1366*1.454*0.2</f>
        <v>26.968064999999996</v>
      </c>
      <c r="W1366" s="9">
        <f>H1366*1.454</f>
        <v>0</v>
      </c>
      <c r="X1366" s="9">
        <f>K1366*1.454</f>
        <v>0</v>
      </c>
      <c r="Y1366" s="4">
        <f t="shared" si="196"/>
        <v>53.93612999999999</v>
      </c>
    </row>
    <row r="1367" spans="1:24" s="59" customFormat="1" ht="17.25" customHeight="1">
      <c r="A1367" s="158" t="s">
        <v>66</v>
      </c>
      <c r="B1367" s="158"/>
      <c r="C1367" s="158"/>
      <c r="D1367" s="158"/>
      <c r="E1367" s="158"/>
      <c r="F1367" s="158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91"/>
    </row>
    <row r="1368" spans="1:24" s="59" customFormat="1" ht="18.75">
      <c r="A1368" s="79">
        <v>1</v>
      </c>
      <c r="B1368" s="79">
        <v>30</v>
      </c>
      <c r="C1368" s="79">
        <v>92.7</v>
      </c>
      <c r="D1368" s="79">
        <v>30</v>
      </c>
      <c r="E1368" s="79">
        <v>92.7</v>
      </c>
      <c r="F1368" s="79" t="s">
        <v>433</v>
      </c>
      <c r="G1368" s="79"/>
      <c r="H1368" s="79"/>
      <c r="I1368" s="79"/>
      <c r="J1368" s="79"/>
      <c r="K1368" s="79"/>
      <c r="L1368" s="79"/>
      <c r="M1368" s="79"/>
      <c r="N1368" s="79">
        <v>900</v>
      </c>
      <c r="O1368" s="80">
        <v>100.8</v>
      </c>
      <c r="P1368" s="79">
        <v>1</v>
      </c>
      <c r="Q1368" s="79">
        <v>150</v>
      </c>
      <c r="R1368" s="80">
        <v>134.9</v>
      </c>
      <c r="S1368" s="80">
        <f>R1368*0.4</f>
        <v>53.96000000000001</v>
      </c>
      <c r="T1368" s="80">
        <f>R1368*0.2</f>
        <v>26.980000000000004</v>
      </c>
      <c r="U1368" s="80">
        <v>27</v>
      </c>
      <c r="V1368" s="80">
        <v>27</v>
      </c>
      <c r="W1368" s="80">
        <v>0</v>
      </c>
      <c r="X1368" s="80">
        <v>0</v>
      </c>
    </row>
    <row r="1369" spans="1:24" s="59" customFormat="1" ht="18.75" customHeight="1">
      <c r="A1369" s="158" t="s">
        <v>67</v>
      </c>
      <c r="B1369" s="158"/>
      <c r="C1369" s="158"/>
      <c r="D1369" s="158"/>
      <c r="E1369" s="158"/>
      <c r="F1369" s="158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91"/>
    </row>
    <row r="1370" spans="1:24" s="59" customFormat="1" ht="18.75">
      <c r="A1370" s="79">
        <v>1</v>
      </c>
      <c r="B1370" s="79">
        <v>30</v>
      </c>
      <c r="C1370" s="79">
        <v>92.7</v>
      </c>
      <c r="D1370" s="79">
        <v>30</v>
      </c>
      <c r="E1370" s="79">
        <v>92.7</v>
      </c>
      <c r="F1370" s="79" t="s">
        <v>433</v>
      </c>
      <c r="G1370" s="79"/>
      <c r="H1370" s="79"/>
      <c r="I1370" s="79"/>
      <c r="J1370" s="79"/>
      <c r="K1370" s="79"/>
      <c r="L1370" s="79"/>
      <c r="M1370" s="79"/>
      <c r="N1370" s="79">
        <v>900</v>
      </c>
      <c r="O1370" s="80">
        <v>100.8</v>
      </c>
      <c r="P1370" s="79">
        <v>1</v>
      </c>
      <c r="Q1370" s="79">
        <v>150</v>
      </c>
      <c r="R1370" s="80">
        <v>134.9</v>
      </c>
      <c r="S1370" s="80">
        <f>R1370*0.4</f>
        <v>53.96000000000001</v>
      </c>
      <c r="T1370" s="80">
        <f>R1370*0.2</f>
        <v>26.980000000000004</v>
      </c>
      <c r="U1370" s="80">
        <v>27</v>
      </c>
      <c r="V1370" s="80">
        <v>27</v>
      </c>
      <c r="W1370" s="80">
        <v>0</v>
      </c>
      <c r="X1370" s="80">
        <v>0</v>
      </c>
    </row>
    <row r="1371" spans="1:25" ht="36" outlineLevel="1">
      <c r="A1371" s="7" t="s">
        <v>438</v>
      </c>
      <c r="B1371" s="34">
        <f>B1362+B1364+B1366+B1368+B1370</f>
        <v>131</v>
      </c>
      <c r="C1371" s="38">
        <f aca="true" t="shared" si="202" ref="C1371:X1371">C1362+C1364+C1366+C1368+C1370</f>
        <v>428.5516666666666</v>
      </c>
      <c r="D1371" s="34">
        <f t="shared" si="202"/>
        <v>131</v>
      </c>
      <c r="E1371" s="38">
        <f t="shared" si="202"/>
        <v>428.5516666666666</v>
      </c>
      <c r="F1371" s="34" t="s">
        <v>433</v>
      </c>
      <c r="G1371" s="34">
        <f t="shared" si="202"/>
        <v>0</v>
      </c>
      <c r="H1371" s="34">
        <f t="shared" si="202"/>
        <v>0</v>
      </c>
      <c r="I1371" s="34" t="s">
        <v>441</v>
      </c>
      <c r="J1371" s="34">
        <f t="shared" si="202"/>
        <v>0</v>
      </c>
      <c r="K1371" s="34">
        <f t="shared" si="202"/>
        <v>0</v>
      </c>
      <c r="L1371" s="34" t="s">
        <v>441</v>
      </c>
      <c r="M1371" s="34">
        <f t="shared" si="202"/>
        <v>0</v>
      </c>
      <c r="N1371" s="34">
        <f>N1362+N1364+N1366+N1368+N1370</f>
        <v>4000</v>
      </c>
      <c r="O1371" s="35">
        <f t="shared" si="202"/>
        <v>465.89528985507246</v>
      </c>
      <c r="P1371" s="34">
        <f>P1362+P1364+P1366+P1368+P1370</f>
        <v>5</v>
      </c>
      <c r="Q1371" s="34">
        <f t="shared" si="202"/>
        <v>700</v>
      </c>
      <c r="R1371" s="35">
        <f t="shared" si="202"/>
        <v>623.3425233333332</v>
      </c>
      <c r="S1371" s="35">
        <f t="shared" si="202"/>
        <v>249.33700933333336</v>
      </c>
      <c r="T1371" s="35">
        <f t="shared" si="202"/>
        <v>124.66850466666668</v>
      </c>
      <c r="U1371" s="35">
        <f t="shared" si="202"/>
        <v>124.70850466666667</v>
      </c>
      <c r="V1371" s="35">
        <f t="shared" si="202"/>
        <v>124.70850466666667</v>
      </c>
      <c r="W1371" s="35">
        <f t="shared" si="202"/>
        <v>0</v>
      </c>
      <c r="X1371" s="35">
        <f t="shared" si="202"/>
        <v>0</v>
      </c>
      <c r="Y1371" s="4">
        <f t="shared" si="196"/>
        <v>249.41700933333334</v>
      </c>
    </row>
    <row r="1372" spans="1:25" ht="12.75" customHeight="1" outlineLevel="1">
      <c r="A1372" s="149" t="s">
        <v>474</v>
      </c>
      <c r="B1372" s="149"/>
      <c r="C1372" s="149"/>
      <c r="D1372" s="149"/>
      <c r="E1372" s="149"/>
      <c r="F1372" s="149"/>
      <c r="G1372" s="149"/>
      <c r="H1372" s="149"/>
      <c r="I1372" s="149"/>
      <c r="J1372" s="149"/>
      <c r="K1372" s="149"/>
      <c r="L1372" s="149"/>
      <c r="M1372" s="149"/>
      <c r="N1372" s="149"/>
      <c r="O1372" s="149"/>
      <c r="P1372" s="149"/>
      <c r="Q1372" s="149"/>
      <c r="R1372" s="149"/>
      <c r="S1372" s="149"/>
      <c r="T1372" s="149"/>
      <c r="U1372" s="149"/>
      <c r="V1372" s="149"/>
      <c r="W1372" s="149"/>
      <c r="X1372" s="149"/>
      <c r="Y1372" s="4">
        <f t="shared" si="196"/>
        <v>0</v>
      </c>
    </row>
    <row r="1373" spans="1:25" ht="18.75" outlineLevel="2">
      <c r="A1373" s="160">
        <v>1</v>
      </c>
      <c r="B1373" s="158" t="s">
        <v>652</v>
      </c>
      <c r="C1373" s="158"/>
      <c r="D1373" s="158"/>
      <c r="E1373" s="158"/>
      <c r="F1373" s="158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4">
        <f t="shared" si="196"/>
        <v>0</v>
      </c>
    </row>
    <row r="1374" spans="1:25" ht="18" outlineLevel="2">
      <c r="A1374" s="160"/>
      <c r="B1374" s="31">
        <f>D1374+G1374+J1374</f>
        <v>20</v>
      </c>
      <c r="C1374" s="31">
        <f>E1374+H1374+K1374</f>
        <v>74.6</v>
      </c>
      <c r="D1374" s="31">
        <v>20</v>
      </c>
      <c r="E1374" s="8">
        <f>D1374*FORECAST(D1374,AA$10:AA$11,Z$10:Z$11)</f>
        <v>74.6</v>
      </c>
      <c r="F1374" s="31" t="s">
        <v>433</v>
      </c>
      <c r="G1374" s="31"/>
      <c r="H1374" s="31"/>
      <c r="I1374" s="31"/>
      <c r="J1374" s="31"/>
      <c r="K1374" s="31"/>
      <c r="L1374" s="31"/>
      <c r="M1374" s="31"/>
      <c r="N1374" s="31"/>
      <c r="O1374" s="8">
        <f>C1374/0.92</f>
        <v>81.08695652173913</v>
      </c>
      <c r="P1374" s="31"/>
      <c r="Q1374" s="31"/>
      <c r="R1374" s="8">
        <f>1.454*C1374</f>
        <v>108.46839999999999</v>
      </c>
      <c r="S1374" s="9">
        <f>E1374*1.454*0.4</f>
        <v>43.38736</v>
      </c>
      <c r="T1374" s="9">
        <f>E1374*1.454*0.2</f>
        <v>21.69368</v>
      </c>
      <c r="U1374" s="9">
        <f>E1374*1.454*0.2</f>
        <v>21.69368</v>
      </c>
      <c r="V1374" s="9">
        <f>E1374*1.454*0.2</f>
        <v>21.69368</v>
      </c>
      <c r="W1374" s="9">
        <f>H1374*1.454</f>
        <v>0</v>
      </c>
      <c r="X1374" s="9">
        <f>K1374*1.454</f>
        <v>0</v>
      </c>
      <c r="Y1374" s="4">
        <f t="shared" si="196"/>
        <v>43.38736</v>
      </c>
    </row>
    <row r="1375" spans="1:25" ht="18.75" outlineLevel="2">
      <c r="A1375" s="160">
        <v>1</v>
      </c>
      <c r="B1375" s="158" t="s">
        <v>363</v>
      </c>
      <c r="C1375" s="158"/>
      <c r="D1375" s="158"/>
      <c r="E1375" s="158"/>
      <c r="F1375" s="158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4">
        <f t="shared" si="196"/>
        <v>0</v>
      </c>
    </row>
    <row r="1376" spans="1:25" ht="18" outlineLevel="2">
      <c r="A1376" s="160"/>
      <c r="B1376" s="31">
        <f>D1376+G1376+J1376</f>
        <v>40</v>
      </c>
      <c r="C1376" s="31">
        <f>E1376+H1376+K1376</f>
        <v>106.4</v>
      </c>
      <c r="D1376" s="31">
        <v>40</v>
      </c>
      <c r="E1376" s="8">
        <f>D1376*FORECAST(D1376,AA$11:AA$12,Z$11:Z$12)</f>
        <v>106.4</v>
      </c>
      <c r="F1376" s="31" t="s">
        <v>433</v>
      </c>
      <c r="G1376" s="31"/>
      <c r="H1376" s="31"/>
      <c r="I1376" s="31"/>
      <c r="J1376" s="31"/>
      <c r="K1376" s="31"/>
      <c r="L1376" s="31"/>
      <c r="M1376" s="31"/>
      <c r="N1376" s="31">
        <v>500</v>
      </c>
      <c r="O1376" s="8">
        <f>C1376/0.92</f>
        <v>115.65217391304348</v>
      </c>
      <c r="P1376" s="31">
        <v>2</v>
      </c>
      <c r="Q1376" s="31">
        <v>100</v>
      </c>
      <c r="R1376" s="8">
        <f>1.454*C1376</f>
        <v>154.7056</v>
      </c>
      <c r="S1376" s="9">
        <f>E1376*1.454*0.4</f>
        <v>61.88224</v>
      </c>
      <c r="T1376" s="9">
        <f>E1376*1.454*0.2</f>
        <v>30.94112</v>
      </c>
      <c r="U1376" s="9">
        <f>E1376*1.454*0.2</f>
        <v>30.94112</v>
      </c>
      <c r="V1376" s="9">
        <f>E1376*1.454*0.2</f>
        <v>30.94112</v>
      </c>
      <c r="W1376" s="9">
        <f>H1376*1.454</f>
        <v>0</v>
      </c>
      <c r="X1376" s="9">
        <f>K1376*1.454</f>
        <v>0</v>
      </c>
      <c r="Y1376" s="4">
        <f t="shared" si="196"/>
        <v>61.88224</v>
      </c>
    </row>
    <row r="1377" spans="1:25" ht="18.75" outlineLevel="2">
      <c r="A1377" s="160">
        <v>1</v>
      </c>
      <c r="B1377" s="158" t="s">
        <v>693</v>
      </c>
      <c r="C1377" s="158"/>
      <c r="D1377" s="158"/>
      <c r="E1377" s="158"/>
      <c r="F1377" s="158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4">
        <f t="shared" si="196"/>
        <v>0</v>
      </c>
    </row>
    <row r="1378" spans="1:25" ht="18" outlineLevel="2">
      <c r="A1378" s="160"/>
      <c r="B1378" s="31">
        <f>D1378+G1378+J1378</f>
        <v>60</v>
      </c>
      <c r="C1378" s="31">
        <f>E1378+H1378+K1378</f>
        <v>142.79999999999998</v>
      </c>
      <c r="D1378" s="31">
        <v>60</v>
      </c>
      <c r="E1378" s="8">
        <f>D1378*FORECAST(D1378,AA$12:AA$13,Z$12:Z$13)</f>
        <v>142.79999999999998</v>
      </c>
      <c r="F1378" s="31" t="s">
        <v>433</v>
      </c>
      <c r="G1378" s="31"/>
      <c r="H1378" s="31"/>
      <c r="I1378" s="31"/>
      <c r="J1378" s="31"/>
      <c r="K1378" s="31"/>
      <c r="L1378" s="31"/>
      <c r="M1378" s="31"/>
      <c r="N1378" s="31">
        <v>400</v>
      </c>
      <c r="O1378" s="8">
        <f>C1378/0.92</f>
        <v>155.2173913043478</v>
      </c>
      <c r="P1378" s="31">
        <v>2</v>
      </c>
      <c r="Q1378" s="31">
        <v>150</v>
      </c>
      <c r="R1378" s="8">
        <f>1.454*C1378</f>
        <v>207.63119999999998</v>
      </c>
      <c r="S1378" s="9">
        <f>E1378*1.454*0.4</f>
        <v>83.05248</v>
      </c>
      <c r="T1378" s="9">
        <f>E1378*1.454*0.2</f>
        <v>41.52624</v>
      </c>
      <c r="U1378" s="9">
        <f>E1378*1.454*0.2</f>
        <v>41.52624</v>
      </c>
      <c r="V1378" s="9">
        <f>E1378*1.454*0.2</f>
        <v>41.52624</v>
      </c>
      <c r="W1378" s="9">
        <f>H1378*1.454</f>
        <v>0</v>
      </c>
      <c r="X1378" s="9">
        <f>K1378*1.454</f>
        <v>0</v>
      </c>
      <c r="Y1378" s="4">
        <f t="shared" si="196"/>
        <v>83.05248</v>
      </c>
    </row>
    <row r="1379" spans="1:25" ht="18.75" outlineLevel="2">
      <c r="A1379" s="160">
        <v>1</v>
      </c>
      <c r="B1379" s="158" t="s">
        <v>364</v>
      </c>
      <c r="C1379" s="158"/>
      <c r="D1379" s="158"/>
      <c r="E1379" s="158"/>
      <c r="F1379" s="158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4">
        <f t="shared" si="196"/>
        <v>0</v>
      </c>
    </row>
    <row r="1380" spans="1:25" ht="18" outlineLevel="2">
      <c r="A1380" s="160"/>
      <c r="B1380" s="31">
        <f>D1380+G1380+J1380</f>
        <v>50</v>
      </c>
      <c r="C1380" s="18">
        <f>E1380+H1380+K1380</f>
        <v>126</v>
      </c>
      <c r="D1380" s="31">
        <v>50</v>
      </c>
      <c r="E1380" s="8">
        <f>D1380*FORECAST(D1380,AA$12:AA$13,Z$12:Z$13)</f>
        <v>126</v>
      </c>
      <c r="F1380" s="31" t="s">
        <v>433</v>
      </c>
      <c r="G1380" s="31"/>
      <c r="H1380" s="31"/>
      <c r="I1380" s="31"/>
      <c r="J1380" s="31"/>
      <c r="K1380" s="31"/>
      <c r="L1380" s="31"/>
      <c r="M1380" s="31"/>
      <c r="N1380" s="31">
        <v>600</v>
      </c>
      <c r="O1380" s="8">
        <f>C1380/0.92</f>
        <v>136.95652173913044</v>
      </c>
      <c r="P1380" s="31">
        <v>1</v>
      </c>
      <c r="Q1380" s="31">
        <v>250</v>
      </c>
      <c r="R1380" s="8">
        <f>1.454*C1380</f>
        <v>183.204</v>
      </c>
      <c r="S1380" s="9">
        <f>E1380*1.454*0.4</f>
        <v>73.28160000000001</v>
      </c>
      <c r="T1380" s="9">
        <f>E1380*1.454*0.2</f>
        <v>36.640800000000006</v>
      </c>
      <c r="U1380" s="9">
        <f>E1380*1.454*0.2</f>
        <v>36.640800000000006</v>
      </c>
      <c r="V1380" s="9">
        <f>E1380*1.454*0.2</f>
        <v>36.640800000000006</v>
      </c>
      <c r="W1380" s="9">
        <f>H1380*1.454</f>
        <v>0</v>
      </c>
      <c r="X1380" s="9">
        <f>K1380*1.454</f>
        <v>0</v>
      </c>
      <c r="Y1380" s="4">
        <f t="shared" si="196"/>
        <v>73.28160000000001</v>
      </c>
    </row>
    <row r="1381" spans="1:25" ht="18.75" outlineLevel="2">
      <c r="A1381" s="160">
        <v>1</v>
      </c>
      <c r="B1381" s="158" t="s">
        <v>365</v>
      </c>
      <c r="C1381" s="158"/>
      <c r="D1381" s="158"/>
      <c r="E1381" s="158"/>
      <c r="F1381" s="158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4">
        <f t="shared" si="196"/>
        <v>0</v>
      </c>
    </row>
    <row r="1382" spans="1:25" ht="18" outlineLevel="2">
      <c r="A1382" s="160"/>
      <c r="B1382" s="31">
        <f>D1382+G1382+J1382</f>
        <v>15</v>
      </c>
      <c r="C1382" s="31">
        <f>E1382+H1382+K1382</f>
        <v>65.1</v>
      </c>
      <c r="D1382" s="31">
        <v>15</v>
      </c>
      <c r="E1382" s="8">
        <f>D1382*FORECAST(D1382,AA$9:AA$10,Z$9:Z$10)</f>
        <v>65.1</v>
      </c>
      <c r="F1382" s="31" t="s">
        <v>433</v>
      </c>
      <c r="G1382" s="31"/>
      <c r="H1382" s="31"/>
      <c r="I1382" s="31"/>
      <c r="J1382" s="31"/>
      <c r="K1382" s="31"/>
      <c r="L1382" s="31"/>
      <c r="M1382" s="31"/>
      <c r="N1382" s="31">
        <v>300</v>
      </c>
      <c r="O1382" s="8">
        <f>C1382/0.92</f>
        <v>70.76086956521738</v>
      </c>
      <c r="P1382" s="31">
        <v>1</v>
      </c>
      <c r="Q1382" s="31">
        <v>100</v>
      </c>
      <c r="R1382" s="8">
        <f>1.454*C1382</f>
        <v>94.65539999999999</v>
      </c>
      <c r="S1382" s="9">
        <f>E1382*1.454*0.4</f>
        <v>37.862159999999996</v>
      </c>
      <c r="T1382" s="9">
        <f>E1382*1.454*0.2</f>
        <v>18.931079999999998</v>
      </c>
      <c r="U1382" s="9">
        <f>E1382*1.454*0.2</f>
        <v>18.931079999999998</v>
      </c>
      <c r="V1382" s="9">
        <f>E1382*1.454*0.2</f>
        <v>18.931079999999998</v>
      </c>
      <c r="W1382" s="9">
        <f>H1382*1.454</f>
        <v>0</v>
      </c>
      <c r="X1382" s="9">
        <f>K1382*1.454</f>
        <v>0</v>
      </c>
      <c r="Y1382" s="4">
        <f t="shared" si="196"/>
        <v>37.862159999999996</v>
      </c>
    </row>
    <row r="1383" spans="1:25" ht="36" outlineLevel="1">
      <c r="A1383" s="7" t="s">
        <v>456</v>
      </c>
      <c r="B1383" s="34">
        <f>B1374+B1376+B1378+B1380+B1382</f>
        <v>185</v>
      </c>
      <c r="C1383" s="34">
        <f>C1374+C1376+C1378+C1380+C1382</f>
        <v>514.9</v>
      </c>
      <c r="D1383" s="34">
        <f>D1374+D1376+D1378+D1380+D1382</f>
        <v>185</v>
      </c>
      <c r="E1383" s="34">
        <f>E1374+E1376+E1378+E1380+E1382</f>
        <v>514.9</v>
      </c>
      <c r="F1383" s="34" t="s">
        <v>433</v>
      </c>
      <c r="G1383" s="34">
        <f>G1374+G1376+G1378+G1380+G1382</f>
        <v>0</v>
      </c>
      <c r="H1383" s="34">
        <f>H1374+H1376+H1378+H1380+H1382</f>
        <v>0</v>
      </c>
      <c r="I1383" s="34" t="s">
        <v>441</v>
      </c>
      <c r="J1383" s="34">
        <f>J1374+J1376+J1378+J1380+J1382</f>
        <v>0</v>
      </c>
      <c r="K1383" s="34">
        <f>K1374+K1376+K1378+K1380+K1382</f>
        <v>0</v>
      </c>
      <c r="L1383" s="34" t="s">
        <v>441</v>
      </c>
      <c r="M1383" s="34">
        <f aca="true" t="shared" si="203" ref="M1383:X1383">M1374+M1376+M1378+M1380+M1382</f>
        <v>0</v>
      </c>
      <c r="N1383" s="34">
        <f t="shared" si="203"/>
        <v>1800</v>
      </c>
      <c r="O1383" s="35">
        <f t="shared" si="203"/>
        <v>559.6739130434783</v>
      </c>
      <c r="P1383" s="34">
        <f t="shared" si="203"/>
        <v>6</v>
      </c>
      <c r="Q1383" s="34">
        <f t="shared" si="203"/>
        <v>600</v>
      </c>
      <c r="R1383" s="35">
        <f t="shared" si="203"/>
        <v>748.6646</v>
      </c>
      <c r="S1383" s="35">
        <f t="shared" si="203"/>
        <v>299.46584</v>
      </c>
      <c r="T1383" s="35">
        <f t="shared" si="203"/>
        <v>149.73292</v>
      </c>
      <c r="U1383" s="35">
        <f t="shared" si="203"/>
        <v>149.73292</v>
      </c>
      <c r="V1383" s="35">
        <f t="shared" si="203"/>
        <v>149.73292</v>
      </c>
      <c r="W1383" s="35">
        <f t="shared" si="203"/>
        <v>0</v>
      </c>
      <c r="X1383" s="35">
        <f t="shared" si="203"/>
        <v>0</v>
      </c>
      <c r="Y1383" s="4">
        <f t="shared" si="196"/>
        <v>299.46584</v>
      </c>
    </row>
    <row r="1384" spans="1:25" ht="12.75" customHeight="1" outlineLevel="1">
      <c r="A1384" s="149" t="s">
        <v>475</v>
      </c>
      <c r="B1384" s="149"/>
      <c r="C1384" s="149"/>
      <c r="D1384" s="149"/>
      <c r="E1384" s="149"/>
      <c r="F1384" s="149"/>
      <c r="G1384" s="149"/>
      <c r="H1384" s="149"/>
      <c r="I1384" s="149"/>
      <c r="J1384" s="149"/>
      <c r="K1384" s="149"/>
      <c r="L1384" s="149"/>
      <c r="M1384" s="149"/>
      <c r="N1384" s="149"/>
      <c r="O1384" s="149"/>
      <c r="P1384" s="149"/>
      <c r="Q1384" s="149"/>
      <c r="R1384" s="149"/>
      <c r="S1384" s="149"/>
      <c r="T1384" s="149"/>
      <c r="U1384" s="149"/>
      <c r="V1384" s="149"/>
      <c r="W1384" s="149"/>
      <c r="X1384" s="149"/>
      <c r="Y1384" s="4">
        <f t="shared" si="196"/>
        <v>0</v>
      </c>
    </row>
    <row r="1385" spans="1:25" ht="18.75" outlineLevel="1">
      <c r="A1385" s="164" t="s">
        <v>450</v>
      </c>
      <c r="B1385" s="158" t="s">
        <v>339</v>
      </c>
      <c r="C1385" s="158"/>
      <c r="D1385" s="158"/>
      <c r="E1385" s="158"/>
      <c r="F1385" s="158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4">
        <f t="shared" si="196"/>
        <v>0</v>
      </c>
    </row>
    <row r="1386" spans="1:25" ht="18" outlineLevel="1">
      <c r="A1386" s="164"/>
      <c r="B1386" s="32">
        <f>D1386+G1386+J1386</f>
        <v>40</v>
      </c>
      <c r="C1386" s="32">
        <f>E1386+H1386+K1386</f>
        <v>106.4</v>
      </c>
      <c r="D1386" s="32">
        <v>40</v>
      </c>
      <c r="E1386" s="8">
        <f>D1386*FORECAST(D1386,AA$11:AA$12,Z$11:Z$12)</f>
        <v>106.4</v>
      </c>
      <c r="F1386" s="32" t="s">
        <v>433</v>
      </c>
      <c r="G1386" s="32"/>
      <c r="H1386" s="32"/>
      <c r="I1386" s="32"/>
      <c r="J1386" s="32"/>
      <c r="K1386" s="32"/>
      <c r="L1386" s="32"/>
      <c r="M1386" s="32"/>
      <c r="N1386" s="32">
        <v>1200</v>
      </c>
      <c r="O1386" s="8">
        <f>C1386/0.92</f>
        <v>115.65217391304348</v>
      </c>
      <c r="P1386" s="32">
        <v>1</v>
      </c>
      <c r="Q1386" s="32">
        <v>250</v>
      </c>
      <c r="R1386" s="8">
        <f>1.454*C1386</f>
        <v>154.7056</v>
      </c>
      <c r="S1386" s="9">
        <f>E1386*1.454*0.4</f>
        <v>61.88224</v>
      </c>
      <c r="T1386" s="9">
        <f>E1386*1.454*0.2</f>
        <v>30.94112</v>
      </c>
      <c r="U1386" s="9">
        <f>E1386*1.454*0.2</f>
        <v>30.94112</v>
      </c>
      <c r="V1386" s="9">
        <f>E1386*1.454*0.2</f>
        <v>30.94112</v>
      </c>
      <c r="W1386" s="9">
        <f>H1386*1.454</f>
        <v>0</v>
      </c>
      <c r="X1386" s="9">
        <f>K1386*1.454</f>
        <v>0</v>
      </c>
      <c r="Y1386" s="4">
        <f t="shared" si="196"/>
        <v>61.88224</v>
      </c>
    </row>
    <row r="1387" spans="1:25" ht="85.5" customHeight="1">
      <c r="A1387" s="6" t="s">
        <v>732</v>
      </c>
      <c r="B1387" s="38">
        <f>B1359+B1371+B1383+B1386</f>
        <v>3375</v>
      </c>
      <c r="C1387" s="38">
        <f>C1359+C1371+C1383+C1386</f>
        <v>11091.359166666665</v>
      </c>
      <c r="D1387" s="38">
        <f>D1359+D1371+D1383+D1386</f>
        <v>3366</v>
      </c>
      <c r="E1387" s="38">
        <f>E1359+E1371+E1383+E1386</f>
        <v>10265.359166666665</v>
      </c>
      <c r="F1387" s="38" t="s">
        <v>433</v>
      </c>
      <c r="G1387" s="38">
        <f>G1359+G1371+G1383+G1386</f>
        <v>1</v>
      </c>
      <c r="H1387" s="38">
        <f>H1359+H1371+H1383+H1386</f>
        <v>500</v>
      </c>
      <c r="I1387" s="38" t="s">
        <v>698</v>
      </c>
      <c r="J1387" s="38">
        <f>J1359+J1371+J1383+J1386</f>
        <v>8</v>
      </c>
      <c r="K1387" s="38">
        <f>K1359+K1371+K1383+K1386</f>
        <v>326</v>
      </c>
      <c r="L1387" s="38" t="s">
        <v>698</v>
      </c>
      <c r="M1387" s="38">
        <f aca="true" t="shared" si="204" ref="M1387:X1387">M1359+M1371+M1383+M1386</f>
        <v>1357</v>
      </c>
      <c r="N1387" s="38">
        <f t="shared" si="204"/>
        <v>73920</v>
      </c>
      <c r="O1387" s="38">
        <f t="shared" si="204"/>
        <v>11921.646920289855</v>
      </c>
      <c r="P1387" s="38">
        <f t="shared" si="204"/>
        <v>113</v>
      </c>
      <c r="Q1387" s="35">
        <f t="shared" si="204"/>
        <v>17000</v>
      </c>
      <c r="R1387" s="35">
        <f t="shared" si="204"/>
        <v>16069.819628333327</v>
      </c>
      <c r="S1387" s="35">
        <f t="shared" si="204"/>
        <v>5947.526251333333</v>
      </c>
      <c r="T1387" s="35">
        <f>T1359+T1371+T1383+T1386</f>
        <v>2973.7631256666664</v>
      </c>
      <c r="U1387" s="35">
        <f t="shared" si="204"/>
        <v>2973.782525666666</v>
      </c>
      <c r="V1387" s="35">
        <f t="shared" si="204"/>
        <v>2973.782525666666</v>
      </c>
      <c r="W1387" s="35">
        <f t="shared" si="204"/>
        <v>727</v>
      </c>
      <c r="X1387" s="35">
        <f t="shared" si="204"/>
        <v>474.00399999999996</v>
      </c>
      <c r="Y1387" s="4">
        <f t="shared" si="196"/>
        <v>5947.565051333332</v>
      </c>
    </row>
    <row r="1388" spans="1:25" ht="18">
      <c r="A1388" s="171" t="s">
        <v>459</v>
      </c>
      <c r="B1388" s="171"/>
      <c r="C1388" s="171"/>
      <c r="D1388" s="171"/>
      <c r="E1388" s="171"/>
      <c r="F1388" s="171"/>
      <c r="G1388" s="171"/>
      <c r="H1388" s="171"/>
      <c r="I1388" s="171"/>
      <c r="J1388" s="171"/>
      <c r="K1388" s="171"/>
      <c r="L1388" s="171"/>
      <c r="M1388" s="171"/>
      <c r="N1388" s="171"/>
      <c r="O1388" s="171"/>
      <c r="P1388" s="171"/>
      <c r="Q1388" s="171"/>
      <c r="R1388" s="171"/>
      <c r="S1388" s="171"/>
      <c r="T1388" s="171"/>
      <c r="U1388" s="171"/>
      <c r="V1388" s="171"/>
      <c r="W1388" s="171"/>
      <c r="X1388" s="171"/>
      <c r="Y1388" s="4">
        <f t="shared" si="196"/>
        <v>0</v>
      </c>
    </row>
    <row r="1389" spans="1:25" ht="18.75" outlineLevel="1">
      <c r="A1389" s="13">
        <v>1</v>
      </c>
      <c r="B1389" s="13">
        <v>2</v>
      </c>
      <c r="C1389" s="13">
        <v>3</v>
      </c>
      <c r="D1389" s="13">
        <v>4</v>
      </c>
      <c r="E1389" s="13">
        <v>5</v>
      </c>
      <c r="F1389" s="13">
        <v>6</v>
      </c>
      <c r="G1389" s="13">
        <v>7</v>
      </c>
      <c r="H1389" s="13">
        <v>8</v>
      </c>
      <c r="I1389" s="13">
        <v>9</v>
      </c>
      <c r="J1389" s="13">
        <v>10</v>
      </c>
      <c r="K1389" s="13">
        <v>11</v>
      </c>
      <c r="L1389" s="13">
        <v>12</v>
      </c>
      <c r="M1389" s="13">
        <v>13</v>
      </c>
      <c r="N1389" s="13">
        <v>14</v>
      </c>
      <c r="O1389" s="13">
        <v>15</v>
      </c>
      <c r="P1389" s="13">
        <v>16</v>
      </c>
      <c r="Q1389" s="13">
        <v>17</v>
      </c>
      <c r="R1389" s="13">
        <v>18</v>
      </c>
      <c r="S1389" s="89">
        <v>19</v>
      </c>
      <c r="T1389" s="14">
        <v>20</v>
      </c>
      <c r="U1389" s="14">
        <v>21</v>
      </c>
      <c r="V1389" s="14">
        <v>22</v>
      </c>
      <c r="W1389" s="14">
        <v>23</v>
      </c>
      <c r="X1389" s="14">
        <v>24</v>
      </c>
      <c r="Y1389" s="4">
        <f t="shared" si="196"/>
        <v>42</v>
      </c>
    </row>
    <row r="1390" spans="1:25" ht="12.75" customHeight="1" outlineLevel="1">
      <c r="A1390" s="149" t="s">
        <v>473</v>
      </c>
      <c r="B1390" s="149"/>
      <c r="C1390" s="149"/>
      <c r="D1390" s="149"/>
      <c r="E1390" s="149"/>
      <c r="F1390" s="149"/>
      <c r="G1390" s="149"/>
      <c r="H1390" s="149"/>
      <c r="I1390" s="149"/>
      <c r="J1390" s="149"/>
      <c r="K1390" s="149"/>
      <c r="L1390" s="149"/>
      <c r="M1390" s="149"/>
      <c r="N1390" s="149"/>
      <c r="O1390" s="149"/>
      <c r="P1390" s="149"/>
      <c r="Q1390" s="149"/>
      <c r="R1390" s="149"/>
      <c r="S1390" s="149"/>
      <c r="T1390" s="149"/>
      <c r="U1390" s="149"/>
      <c r="V1390" s="149"/>
      <c r="W1390" s="149"/>
      <c r="X1390" s="149"/>
      <c r="Y1390" s="4">
        <f t="shared" si="196"/>
        <v>0</v>
      </c>
    </row>
    <row r="1391" spans="1:25" ht="12.75" customHeight="1" outlineLevel="2">
      <c r="A1391" s="160">
        <v>1</v>
      </c>
      <c r="B1391" s="159" t="s">
        <v>653</v>
      </c>
      <c r="C1391" s="159"/>
      <c r="D1391" s="159"/>
      <c r="E1391" s="159"/>
      <c r="F1391" s="159"/>
      <c r="G1391" s="159"/>
      <c r="H1391" s="159"/>
      <c r="I1391" s="159"/>
      <c r="J1391" s="159"/>
      <c r="K1391" s="159"/>
      <c r="L1391" s="159"/>
      <c r="M1391" s="159"/>
      <c r="N1391" s="159"/>
      <c r="O1391" s="159"/>
      <c r="P1391" s="159"/>
      <c r="Q1391" s="159"/>
      <c r="R1391" s="159"/>
      <c r="S1391" s="159"/>
      <c r="T1391" s="159"/>
      <c r="U1391" s="159"/>
      <c r="V1391" s="159"/>
      <c r="W1391" s="159"/>
      <c r="X1391" s="159"/>
      <c r="Y1391" s="4">
        <f t="shared" si="196"/>
        <v>0</v>
      </c>
    </row>
    <row r="1392" spans="1:25" ht="18" outlineLevel="2">
      <c r="A1392" s="160"/>
      <c r="B1392" s="39">
        <f>D1392+G1392+J1392</f>
        <v>15</v>
      </c>
      <c r="C1392" s="39">
        <f>E1392+H1392+K1392</f>
        <v>65.1</v>
      </c>
      <c r="D1392" s="39">
        <v>15</v>
      </c>
      <c r="E1392" s="8">
        <f>D1392*FORECAST(D1392,AA$9:AA$10,Z$9:Z$10)</f>
        <v>65.1</v>
      </c>
      <c r="F1392" s="39" t="s">
        <v>460</v>
      </c>
      <c r="G1392" s="39"/>
      <c r="H1392" s="39"/>
      <c r="I1392" s="39"/>
      <c r="J1392" s="39"/>
      <c r="K1392" s="39"/>
      <c r="L1392" s="39"/>
      <c r="M1392" s="39">
        <v>30</v>
      </c>
      <c r="N1392" s="39">
        <v>1020</v>
      </c>
      <c r="O1392" s="8">
        <f>C1392/0.92</f>
        <v>70.76086956521738</v>
      </c>
      <c r="P1392" s="39">
        <v>1</v>
      </c>
      <c r="Q1392" s="39">
        <v>160</v>
      </c>
      <c r="R1392" s="8">
        <f>1.454*C1392</f>
        <v>94.65539999999999</v>
      </c>
      <c r="S1392" s="9">
        <f>E1392*1.454*0.4</f>
        <v>37.862159999999996</v>
      </c>
      <c r="T1392" s="9">
        <f>E1392*1.454*0.2</f>
        <v>18.931079999999998</v>
      </c>
      <c r="U1392" s="9">
        <f>E1392*1.454*0.2</f>
        <v>18.931079999999998</v>
      </c>
      <c r="V1392" s="9">
        <f>E1392*1.454*0.2</f>
        <v>18.931079999999998</v>
      </c>
      <c r="W1392" s="9">
        <f>H1392*1.454</f>
        <v>0</v>
      </c>
      <c r="X1392" s="9">
        <f>K1392*1.454</f>
        <v>0</v>
      </c>
      <c r="Y1392" s="86">
        <f aca="true" t="shared" si="205" ref="Y1392:Y1455">S1392+T1392+U1392+V1392+X1392</f>
        <v>94.65539999999999</v>
      </c>
    </row>
    <row r="1393" spans="1:25" ht="12.75" customHeight="1" outlineLevel="2">
      <c r="A1393" s="160">
        <v>2</v>
      </c>
      <c r="B1393" s="159" t="s">
        <v>366</v>
      </c>
      <c r="C1393" s="159"/>
      <c r="D1393" s="159"/>
      <c r="E1393" s="159"/>
      <c r="F1393" s="159"/>
      <c r="G1393" s="159"/>
      <c r="H1393" s="159"/>
      <c r="I1393" s="159"/>
      <c r="J1393" s="159"/>
      <c r="K1393" s="159"/>
      <c r="L1393" s="159"/>
      <c r="M1393" s="159"/>
      <c r="N1393" s="159"/>
      <c r="O1393" s="159"/>
      <c r="P1393" s="159"/>
      <c r="Q1393" s="159"/>
      <c r="R1393" s="159"/>
      <c r="S1393" s="159"/>
      <c r="T1393" s="159"/>
      <c r="U1393" s="159"/>
      <c r="V1393" s="159"/>
      <c r="W1393" s="159"/>
      <c r="X1393" s="159"/>
      <c r="Y1393" s="86">
        <f t="shared" si="205"/>
        <v>0</v>
      </c>
    </row>
    <row r="1394" spans="1:25" ht="18" outlineLevel="2">
      <c r="A1394" s="160"/>
      <c r="B1394" s="39">
        <f>D1394+G1394+J1394</f>
        <v>26</v>
      </c>
      <c r="C1394" s="40">
        <f>E1394+H1394+K1394</f>
        <v>84.8575</v>
      </c>
      <c r="D1394" s="39">
        <v>26</v>
      </c>
      <c r="E1394" s="8">
        <f>D1394*FORECAST(D1394,AA$11:AA$12,Z$11:Z$12)</f>
        <v>84.8575</v>
      </c>
      <c r="F1394" s="39" t="s">
        <v>460</v>
      </c>
      <c r="G1394" s="39"/>
      <c r="H1394" s="39"/>
      <c r="I1394" s="39"/>
      <c r="J1394" s="39"/>
      <c r="K1394" s="39"/>
      <c r="L1394" s="39"/>
      <c r="M1394" s="39">
        <v>30</v>
      </c>
      <c r="N1394" s="39">
        <v>700</v>
      </c>
      <c r="O1394" s="8">
        <f>C1394/0.92</f>
        <v>92.23641304347827</v>
      </c>
      <c r="P1394" s="39"/>
      <c r="Q1394" s="39"/>
      <c r="R1394" s="8">
        <f>1.454*C1394</f>
        <v>123.382805</v>
      </c>
      <c r="S1394" s="9">
        <f>E1394*1.454*0.4</f>
        <v>49.353122000000006</v>
      </c>
      <c r="T1394" s="9">
        <f>E1394*1.454*0.2</f>
        <v>24.676561000000003</v>
      </c>
      <c r="U1394" s="9">
        <f>E1394*1.454*0.2</f>
        <v>24.676561000000003</v>
      </c>
      <c r="V1394" s="9">
        <f>E1394*1.454*0.2</f>
        <v>24.676561000000003</v>
      </c>
      <c r="W1394" s="9">
        <f>H1394*1.454</f>
        <v>0</v>
      </c>
      <c r="X1394" s="9">
        <f>K1394*1.454</f>
        <v>0</v>
      </c>
      <c r="Y1394" s="86">
        <f t="shared" si="205"/>
        <v>123.38280500000002</v>
      </c>
    </row>
    <row r="1395" spans="1:25" ht="12.75" customHeight="1" outlineLevel="2">
      <c r="A1395" s="160">
        <v>3</v>
      </c>
      <c r="B1395" s="159" t="s">
        <v>716</v>
      </c>
      <c r="C1395" s="159"/>
      <c r="D1395" s="159"/>
      <c r="E1395" s="159"/>
      <c r="F1395" s="159"/>
      <c r="G1395" s="159"/>
      <c r="H1395" s="159"/>
      <c r="I1395" s="159"/>
      <c r="J1395" s="159"/>
      <c r="K1395" s="159"/>
      <c r="L1395" s="159"/>
      <c r="M1395" s="159"/>
      <c r="N1395" s="159"/>
      <c r="O1395" s="159"/>
      <c r="P1395" s="159"/>
      <c r="Q1395" s="159"/>
      <c r="R1395" s="159"/>
      <c r="S1395" s="159"/>
      <c r="T1395" s="159"/>
      <c r="U1395" s="159"/>
      <c r="V1395" s="159"/>
      <c r="W1395" s="159"/>
      <c r="X1395" s="159"/>
      <c r="Y1395" s="86">
        <f t="shared" si="205"/>
        <v>0</v>
      </c>
    </row>
    <row r="1396" spans="1:25" ht="18" outlineLevel="2">
      <c r="A1396" s="160"/>
      <c r="B1396" s="39">
        <v>30</v>
      </c>
      <c r="C1396" s="40">
        <v>92.74</v>
      </c>
      <c r="D1396" s="39">
        <v>30</v>
      </c>
      <c r="E1396" s="16">
        <v>92.7</v>
      </c>
      <c r="F1396" s="39" t="s">
        <v>433</v>
      </c>
      <c r="G1396" s="39"/>
      <c r="H1396" s="39"/>
      <c r="I1396" s="39"/>
      <c r="J1396" s="39"/>
      <c r="K1396" s="39"/>
      <c r="L1396" s="39"/>
      <c r="M1396" s="39">
        <v>30</v>
      </c>
      <c r="N1396" s="39">
        <v>1500</v>
      </c>
      <c r="O1396" s="16">
        <v>100.8</v>
      </c>
      <c r="P1396" s="39">
        <v>1</v>
      </c>
      <c r="Q1396" s="39">
        <v>160</v>
      </c>
      <c r="R1396" s="16">
        <v>134.8</v>
      </c>
      <c r="S1396" s="18">
        <v>53.9</v>
      </c>
      <c r="T1396" s="18">
        <v>27</v>
      </c>
      <c r="U1396" s="18">
        <v>27</v>
      </c>
      <c r="V1396" s="18">
        <v>27</v>
      </c>
      <c r="W1396" s="18">
        <v>0</v>
      </c>
      <c r="X1396" s="18">
        <v>0</v>
      </c>
      <c r="Y1396" s="86">
        <f t="shared" si="205"/>
        <v>134.9</v>
      </c>
    </row>
    <row r="1397" spans="1:25" ht="36" outlineLevel="2">
      <c r="A1397" s="6" t="s">
        <v>431</v>
      </c>
      <c r="B1397" s="20">
        <f>B1392+B1394+B1396</f>
        <v>71</v>
      </c>
      <c r="C1397" s="23">
        <f aca="true" t="shared" si="206" ref="C1397:X1397">C1392+C1394+C1396</f>
        <v>242.6975</v>
      </c>
      <c r="D1397" s="20">
        <f t="shared" si="206"/>
        <v>71</v>
      </c>
      <c r="E1397" s="23">
        <f t="shared" si="206"/>
        <v>242.65749999999997</v>
      </c>
      <c r="F1397" s="20" t="s">
        <v>433</v>
      </c>
      <c r="G1397" s="20">
        <f t="shared" si="206"/>
        <v>0</v>
      </c>
      <c r="H1397" s="20">
        <f t="shared" si="206"/>
        <v>0</v>
      </c>
      <c r="I1397" s="20">
        <f t="shared" si="206"/>
        <v>0</v>
      </c>
      <c r="J1397" s="20">
        <f t="shared" si="206"/>
        <v>0</v>
      </c>
      <c r="K1397" s="20">
        <f t="shared" si="206"/>
        <v>0</v>
      </c>
      <c r="L1397" s="20">
        <f t="shared" si="206"/>
        <v>0</v>
      </c>
      <c r="M1397" s="20">
        <f t="shared" si="206"/>
        <v>90</v>
      </c>
      <c r="N1397" s="20">
        <f t="shared" si="206"/>
        <v>3220</v>
      </c>
      <c r="O1397" s="23">
        <f t="shared" si="206"/>
        <v>263.79728260869564</v>
      </c>
      <c r="P1397" s="20">
        <f t="shared" si="206"/>
        <v>2</v>
      </c>
      <c r="Q1397" s="20">
        <f t="shared" si="206"/>
        <v>320</v>
      </c>
      <c r="R1397" s="23">
        <f t="shared" si="206"/>
        <v>352.838205</v>
      </c>
      <c r="S1397" s="23">
        <f t="shared" si="206"/>
        <v>141.115282</v>
      </c>
      <c r="T1397" s="23">
        <f t="shared" si="206"/>
        <v>70.607641</v>
      </c>
      <c r="U1397" s="23">
        <f t="shared" si="206"/>
        <v>70.607641</v>
      </c>
      <c r="V1397" s="23">
        <f t="shared" si="206"/>
        <v>70.607641</v>
      </c>
      <c r="W1397" s="20">
        <f t="shared" si="206"/>
        <v>0</v>
      </c>
      <c r="X1397" s="20">
        <f t="shared" si="206"/>
        <v>0</v>
      </c>
      <c r="Y1397" s="86">
        <f t="shared" si="205"/>
        <v>352.938205</v>
      </c>
    </row>
    <row r="1398" spans="1:25" ht="12.75" customHeight="1" outlineLevel="2">
      <c r="A1398" s="160">
        <v>1</v>
      </c>
      <c r="B1398" s="159" t="s">
        <v>694</v>
      </c>
      <c r="C1398" s="159"/>
      <c r="D1398" s="159"/>
      <c r="E1398" s="159"/>
      <c r="F1398" s="159"/>
      <c r="G1398" s="159"/>
      <c r="H1398" s="159"/>
      <c r="I1398" s="159"/>
      <c r="J1398" s="159"/>
      <c r="K1398" s="159"/>
      <c r="L1398" s="159"/>
      <c r="M1398" s="159"/>
      <c r="N1398" s="159"/>
      <c r="O1398" s="159"/>
      <c r="P1398" s="159"/>
      <c r="Q1398" s="159"/>
      <c r="R1398" s="159"/>
      <c r="S1398" s="159"/>
      <c r="T1398" s="159"/>
      <c r="U1398" s="159"/>
      <c r="V1398" s="159"/>
      <c r="W1398" s="159"/>
      <c r="X1398" s="159"/>
      <c r="Y1398" s="86">
        <f t="shared" si="205"/>
        <v>0</v>
      </c>
    </row>
    <row r="1399" spans="1:25" ht="18" outlineLevel="2">
      <c r="A1399" s="160"/>
      <c r="B1399" s="39">
        <f>D1399+G1399+J1399</f>
        <v>10</v>
      </c>
      <c r="C1399" s="40">
        <f>E1399+H1399+K1399</f>
        <v>50</v>
      </c>
      <c r="D1399" s="39">
        <v>10</v>
      </c>
      <c r="E1399" s="16">
        <v>50</v>
      </c>
      <c r="F1399" s="39" t="s">
        <v>460</v>
      </c>
      <c r="G1399" s="39"/>
      <c r="H1399" s="39"/>
      <c r="I1399" s="39"/>
      <c r="J1399" s="39"/>
      <c r="K1399" s="39"/>
      <c r="L1399" s="39"/>
      <c r="M1399" s="39">
        <v>150</v>
      </c>
      <c r="N1399" s="39">
        <v>150</v>
      </c>
      <c r="O1399" s="16">
        <v>100</v>
      </c>
      <c r="P1399" s="39">
        <v>1</v>
      </c>
      <c r="Q1399" s="39">
        <v>100</v>
      </c>
      <c r="R1399" s="16">
        <v>151</v>
      </c>
      <c r="S1399" s="18">
        <f>R1399*0.4</f>
        <v>60.400000000000006</v>
      </c>
      <c r="T1399" s="18">
        <f>R1399*0.2</f>
        <v>30.200000000000003</v>
      </c>
      <c r="U1399" s="18">
        <f>R1399*0.2</f>
        <v>30.200000000000003</v>
      </c>
      <c r="V1399" s="18">
        <f>R1399*0.2</f>
        <v>30.200000000000003</v>
      </c>
      <c r="W1399" s="18">
        <f>H1399*1.454</f>
        <v>0</v>
      </c>
      <c r="X1399" s="18">
        <f>K1399*1.454</f>
        <v>0</v>
      </c>
      <c r="Y1399" s="86">
        <f t="shared" si="205"/>
        <v>151</v>
      </c>
    </row>
    <row r="1400" spans="1:25" ht="12.75" customHeight="1" outlineLevel="2">
      <c r="A1400" s="160">
        <v>1</v>
      </c>
      <c r="B1400" s="159" t="s">
        <v>367</v>
      </c>
      <c r="C1400" s="159"/>
      <c r="D1400" s="159"/>
      <c r="E1400" s="159"/>
      <c r="F1400" s="159"/>
      <c r="G1400" s="159"/>
      <c r="H1400" s="159"/>
      <c r="I1400" s="159"/>
      <c r="J1400" s="159"/>
      <c r="K1400" s="159"/>
      <c r="L1400" s="159"/>
      <c r="M1400" s="159"/>
      <c r="N1400" s="159"/>
      <c r="O1400" s="159"/>
      <c r="P1400" s="159"/>
      <c r="Q1400" s="159"/>
      <c r="R1400" s="159"/>
      <c r="S1400" s="159"/>
      <c r="T1400" s="159"/>
      <c r="U1400" s="159"/>
      <c r="V1400" s="159"/>
      <c r="W1400" s="159"/>
      <c r="X1400" s="159"/>
      <c r="Y1400" s="86">
        <f t="shared" si="205"/>
        <v>0</v>
      </c>
    </row>
    <row r="1401" spans="1:25" ht="12.75" customHeight="1" outlineLevel="2">
      <c r="A1401" s="160"/>
      <c r="B1401" s="39">
        <f>D1401+G1401+J1401</f>
        <v>40</v>
      </c>
      <c r="C1401" s="39">
        <f>E1401+H1401+K1401</f>
        <v>200</v>
      </c>
      <c r="D1401" s="39">
        <v>40</v>
      </c>
      <c r="E1401" s="16">
        <v>200</v>
      </c>
      <c r="F1401" s="39" t="s">
        <v>460</v>
      </c>
      <c r="G1401" s="39"/>
      <c r="H1401" s="39"/>
      <c r="I1401" s="39"/>
      <c r="J1401" s="39"/>
      <c r="K1401" s="39"/>
      <c r="L1401" s="39"/>
      <c r="M1401" s="39">
        <v>400</v>
      </c>
      <c r="N1401" s="39">
        <v>700</v>
      </c>
      <c r="O1401" s="16">
        <v>100</v>
      </c>
      <c r="P1401" s="39">
        <v>1</v>
      </c>
      <c r="Q1401" s="39">
        <v>100</v>
      </c>
      <c r="R1401" s="16">
        <v>235</v>
      </c>
      <c r="S1401" s="18">
        <f>R1401*0.4</f>
        <v>94</v>
      </c>
      <c r="T1401" s="18">
        <f>R1401*0.2</f>
        <v>47</v>
      </c>
      <c r="U1401" s="18">
        <f>R1401*0.2</f>
        <v>47</v>
      </c>
      <c r="V1401" s="18">
        <f>R1401*0.2</f>
        <v>47</v>
      </c>
      <c r="W1401" s="18">
        <f>H1401*1.454</f>
        <v>0</v>
      </c>
      <c r="X1401" s="18">
        <f>K1401*1.454</f>
        <v>0</v>
      </c>
      <c r="Y1401" s="86">
        <f t="shared" si="205"/>
        <v>235</v>
      </c>
    </row>
    <row r="1402" spans="1:25" ht="12.75" customHeight="1" outlineLevel="2">
      <c r="A1402" s="160">
        <v>1</v>
      </c>
      <c r="B1402" s="159" t="s">
        <v>368</v>
      </c>
      <c r="C1402" s="159"/>
      <c r="D1402" s="159"/>
      <c r="E1402" s="159"/>
      <c r="F1402" s="159"/>
      <c r="G1402" s="159"/>
      <c r="H1402" s="159"/>
      <c r="I1402" s="159"/>
      <c r="J1402" s="159"/>
      <c r="K1402" s="159"/>
      <c r="L1402" s="159"/>
      <c r="M1402" s="159"/>
      <c r="N1402" s="159"/>
      <c r="O1402" s="159"/>
      <c r="P1402" s="159"/>
      <c r="Q1402" s="159"/>
      <c r="R1402" s="159"/>
      <c r="S1402" s="159"/>
      <c r="T1402" s="159"/>
      <c r="U1402" s="159"/>
      <c r="V1402" s="159"/>
      <c r="W1402" s="159"/>
      <c r="X1402" s="159"/>
      <c r="Y1402" s="86">
        <f t="shared" si="205"/>
        <v>0</v>
      </c>
    </row>
    <row r="1403" spans="1:25" ht="18" outlineLevel="2">
      <c r="A1403" s="160"/>
      <c r="B1403" s="39">
        <f>D1403+G1403+J1403</f>
        <v>10</v>
      </c>
      <c r="C1403" s="40">
        <v>50</v>
      </c>
      <c r="D1403" s="39">
        <v>10</v>
      </c>
      <c r="E1403" s="16">
        <v>50</v>
      </c>
      <c r="F1403" s="39" t="s">
        <v>460</v>
      </c>
      <c r="G1403" s="39"/>
      <c r="H1403" s="39"/>
      <c r="I1403" s="39"/>
      <c r="J1403" s="39"/>
      <c r="K1403" s="39"/>
      <c r="L1403" s="39"/>
      <c r="M1403" s="39">
        <v>50</v>
      </c>
      <c r="N1403" s="39">
        <v>700</v>
      </c>
      <c r="O1403" s="16">
        <f>C1403/0.92</f>
        <v>54.347826086956516</v>
      </c>
      <c r="P1403" s="39"/>
      <c r="Q1403" s="39"/>
      <c r="R1403" s="16">
        <v>111.5</v>
      </c>
      <c r="S1403" s="18">
        <f>R1403*0.4</f>
        <v>44.6</v>
      </c>
      <c r="T1403" s="18">
        <f>R1403*0.2</f>
        <v>22.3</v>
      </c>
      <c r="U1403" s="18">
        <f>R1403*0.2</f>
        <v>22.3</v>
      </c>
      <c r="V1403" s="18">
        <f>R1403*0.2</f>
        <v>22.3</v>
      </c>
      <c r="W1403" s="18">
        <f>H1403*1.454</f>
        <v>0</v>
      </c>
      <c r="X1403" s="18">
        <f>K1403*1.454</f>
        <v>0</v>
      </c>
      <c r="Y1403" s="86">
        <f t="shared" si="205"/>
        <v>111.5</v>
      </c>
    </row>
    <row r="1404" spans="1:25" ht="12.75" customHeight="1" outlineLevel="2">
      <c r="A1404" s="160">
        <v>2</v>
      </c>
      <c r="B1404" s="159" t="s">
        <v>369</v>
      </c>
      <c r="C1404" s="159"/>
      <c r="D1404" s="159"/>
      <c r="E1404" s="159"/>
      <c r="F1404" s="159"/>
      <c r="G1404" s="159"/>
      <c r="H1404" s="159"/>
      <c r="I1404" s="159"/>
      <c r="J1404" s="159"/>
      <c r="K1404" s="159"/>
      <c r="L1404" s="159"/>
      <c r="M1404" s="159"/>
      <c r="N1404" s="159"/>
      <c r="O1404" s="159"/>
      <c r="P1404" s="159"/>
      <c r="Q1404" s="159"/>
      <c r="R1404" s="159"/>
      <c r="S1404" s="159"/>
      <c r="T1404" s="159"/>
      <c r="U1404" s="159"/>
      <c r="V1404" s="159"/>
      <c r="W1404" s="159"/>
      <c r="X1404" s="159"/>
      <c r="Y1404" s="86">
        <f t="shared" si="205"/>
        <v>0</v>
      </c>
    </row>
    <row r="1405" spans="1:25" ht="18" outlineLevel="2">
      <c r="A1405" s="160"/>
      <c r="B1405" s="39">
        <f>D1405+G1405+J1405</f>
        <v>7</v>
      </c>
      <c r="C1405" s="40">
        <f>E1405+H1405+K1405</f>
        <v>35</v>
      </c>
      <c r="D1405" s="39">
        <v>7</v>
      </c>
      <c r="E1405" s="16">
        <v>35</v>
      </c>
      <c r="F1405" s="39" t="s">
        <v>460</v>
      </c>
      <c r="G1405" s="39"/>
      <c r="H1405" s="39"/>
      <c r="I1405" s="39"/>
      <c r="J1405" s="39"/>
      <c r="K1405" s="39"/>
      <c r="L1405" s="39"/>
      <c r="M1405" s="39">
        <v>70</v>
      </c>
      <c r="N1405" s="39">
        <v>1000</v>
      </c>
      <c r="O1405" s="16">
        <v>160</v>
      </c>
      <c r="P1405" s="39">
        <v>1</v>
      </c>
      <c r="Q1405" s="39">
        <v>160</v>
      </c>
      <c r="R1405" s="16">
        <v>262.9</v>
      </c>
      <c r="S1405" s="18">
        <f>R1405*0.4</f>
        <v>105.16</v>
      </c>
      <c r="T1405" s="18">
        <f>R1405*0.2</f>
        <v>52.58</v>
      </c>
      <c r="U1405" s="18">
        <f>R1405*0.2</f>
        <v>52.58</v>
      </c>
      <c r="V1405" s="18">
        <f>R1405*0.2</f>
        <v>52.58</v>
      </c>
      <c r="W1405" s="18">
        <f>H1405*1.454</f>
        <v>0</v>
      </c>
      <c r="X1405" s="18">
        <f>K1405*1.454</f>
        <v>0</v>
      </c>
      <c r="Y1405" s="86">
        <f t="shared" si="205"/>
        <v>262.9</v>
      </c>
    </row>
    <row r="1406" spans="1:25" ht="12.75" customHeight="1" outlineLevel="2">
      <c r="A1406" s="160">
        <v>3</v>
      </c>
      <c r="B1406" s="159" t="s">
        <v>370</v>
      </c>
      <c r="C1406" s="159"/>
      <c r="D1406" s="159"/>
      <c r="E1406" s="159"/>
      <c r="F1406" s="159"/>
      <c r="G1406" s="159"/>
      <c r="H1406" s="159"/>
      <c r="I1406" s="159"/>
      <c r="J1406" s="159"/>
      <c r="K1406" s="159"/>
      <c r="L1406" s="159"/>
      <c r="M1406" s="159"/>
      <c r="N1406" s="159"/>
      <c r="O1406" s="159"/>
      <c r="P1406" s="159"/>
      <c r="Q1406" s="159"/>
      <c r="R1406" s="159"/>
      <c r="S1406" s="159"/>
      <c r="T1406" s="159"/>
      <c r="U1406" s="159"/>
      <c r="V1406" s="159"/>
      <c r="W1406" s="159"/>
      <c r="X1406" s="159"/>
      <c r="Y1406" s="86">
        <f t="shared" si="205"/>
        <v>0</v>
      </c>
    </row>
    <row r="1407" spans="1:25" ht="18" outlineLevel="2">
      <c r="A1407" s="160"/>
      <c r="B1407" s="39">
        <f>D1407+G1407+J1407</f>
        <v>9</v>
      </c>
      <c r="C1407" s="40">
        <f>E1407+H1407+K1407</f>
        <v>45</v>
      </c>
      <c r="D1407" s="39">
        <v>9</v>
      </c>
      <c r="E1407" s="16">
        <v>45</v>
      </c>
      <c r="F1407" s="39" t="s">
        <v>460</v>
      </c>
      <c r="G1407" s="39"/>
      <c r="H1407" s="39"/>
      <c r="I1407" s="39"/>
      <c r="J1407" s="39"/>
      <c r="K1407" s="39"/>
      <c r="L1407" s="39"/>
      <c r="M1407" s="39"/>
      <c r="N1407" s="39">
        <v>900</v>
      </c>
      <c r="O1407" s="16">
        <f>C1407/0.92</f>
        <v>48.91304347826087</v>
      </c>
      <c r="P1407" s="39"/>
      <c r="Q1407" s="39"/>
      <c r="R1407" s="16">
        <v>126.9</v>
      </c>
      <c r="S1407" s="18">
        <f>R1407*0.4</f>
        <v>50.760000000000005</v>
      </c>
      <c r="T1407" s="18">
        <f>R1407*0.2</f>
        <v>25.380000000000003</v>
      </c>
      <c r="U1407" s="18">
        <f>R1407*0.2</f>
        <v>25.380000000000003</v>
      </c>
      <c r="V1407" s="18">
        <f>R1407*0.2</f>
        <v>25.380000000000003</v>
      </c>
      <c r="W1407" s="18">
        <f>H1407*1.454</f>
        <v>0</v>
      </c>
      <c r="X1407" s="18">
        <f>K1407*1.454</f>
        <v>0</v>
      </c>
      <c r="Y1407" s="86">
        <f t="shared" si="205"/>
        <v>126.9</v>
      </c>
    </row>
    <row r="1408" spans="1:25" ht="36" customHeight="1" outlineLevel="2">
      <c r="A1408" s="6" t="s">
        <v>431</v>
      </c>
      <c r="B1408" s="20">
        <f>B1403+B1405+B1407</f>
        <v>26</v>
      </c>
      <c r="C1408" s="23">
        <f>C1403+C1405+C1407</f>
        <v>130</v>
      </c>
      <c r="D1408" s="20">
        <f>D1403+D1405+D1407</f>
        <v>26</v>
      </c>
      <c r="E1408" s="23">
        <f>E1403+E1405+E1407</f>
        <v>130</v>
      </c>
      <c r="F1408" s="20" t="s">
        <v>460</v>
      </c>
      <c r="G1408" s="20">
        <f>G1403+G1405+G1407</f>
        <v>0</v>
      </c>
      <c r="H1408" s="20">
        <f>H1403+H1405+H1407</f>
        <v>0</v>
      </c>
      <c r="I1408" s="20" t="s">
        <v>441</v>
      </c>
      <c r="J1408" s="20">
        <f>J1403+J1405+J1407</f>
        <v>0</v>
      </c>
      <c r="K1408" s="20">
        <f>K1403+K1405+K1407</f>
        <v>0</v>
      </c>
      <c r="L1408" s="20" t="s">
        <v>441</v>
      </c>
      <c r="M1408" s="20">
        <f aca="true" t="shared" si="207" ref="M1408:X1408">M1403+M1405+M1407</f>
        <v>120</v>
      </c>
      <c r="N1408" s="20">
        <f t="shared" si="207"/>
        <v>2600</v>
      </c>
      <c r="O1408" s="23">
        <f t="shared" si="207"/>
        <v>263.2608695652174</v>
      </c>
      <c r="P1408" s="20">
        <f t="shared" si="207"/>
        <v>1</v>
      </c>
      <c r="Q1408" s="20">
        <f t="shared" si="207"/>
        <v>160</v>
      </c>
      <c r="R1408" s="23">
        <f t="shared" si="207"/>
        <v>501.29999999999995</v>
      </c>
      <c r="S1408" s="23">
        <f t="shared" si="207"/>
        <v>200.51999999999998</v>
      </c>
      <c r="T1408" s="23">
        <f t="shared" si="207"/>
        <v>100.25999999999999</v>
      </c>
      <c r="U1408" s="23">
        <f t="shared" si="207"/>
        <v>100.25999999999999</v>
      </c>
      <c r="V1408" s="23">
        <f t="shared" si="207"/>
        <v>100.25999999999999</v>
      </c>
      <c r="W1408" s="23">
        <f t="shared" si="207"/>
        <v>0</v>
      </c>
      <c r="X1408" s="23">
        <f t="shared" si="207"/>
        <v>0</v>
      </c>
      <c r="Y1408" s="86">
        <f t="shared" si="205"/>
        <v>501.29999999999995</v>
      </c>
    </row>
    <row r="1409" spans="1:25" ht="12.75" customHeight="1" outlineLevel="2">
      <c r="A1409" s="160">
        <v>1</v>
      </c>
      <c r="B1409" s="159" t="s">
        <v>371</v>
      </c>
      <c r="C1409" s="159"/>
      <c r="D1409" s="159"/>
      <c r="E1409" s="159"/>
      <c r="F1409" s="159"/>
      <c r="G1409" s="159"/>
      <c r="H1409" s="159"/>
      <c r="I1409" s="159"/>
      <c r="J1409" s="159"/>
      <c r="K1409" s="159"/>
      <c r="L1409" s="159"/>
      <c r="M1409" s="159"/>
      <c r="N1409" s="159"/>
      <c r="O1409" s="159"/>
      <c r="P1409" s="159"/>
      <c r="Q1409" s="159"/>
      <c r="R1409" s="159"/>
      <c r="S1409" s="159"/>
      <c r="T1409" s="159"/>
      <c r="U1409" s="159"/>
      <c r="V1409" s="159"/>
      <c r="W1409" s="159"/>
      <c r="X1409" s="159"/>
      <c r="Y1409" s="86">
        <f t="shared" si="205"/>
        <v>0</v>
      </c>
    </row>
    <row r="1410" spans="1:25" ht="18" outlineLevel="2">
      <c r="A1410" s="160"/>
      <c r="B1410" s="39">
        <f>D1410+G1410+J1410</f>
        <v>40</v>
      </c>
      <c r="C1410" s="40">
        <f>E1410+H1410+K1410</f>
        <v>80</v>
      </c>
      <c r="D1410" s="39">
        <v>40</v>
      </c>
      <c r="E1410" s="16">
        <v>80</v>
      </c>
      <c r="F1410" s="39" t="s">
        <v>460</v>
      </c>
      <c r="G1410" s="39"/>
      <c r="H1410" s="39"/>
      <c r="I1410" s="39"/>
      <c r="J1410" s="39"/>
      <c r="K1410" s="39"/>
      <c r="L1410" s="39"/>
      <c r="M1410" s="39"/>
      <c r="N1410" s="39">
        <v>470</v>
      </c>
      <c r="O1410" s="16">
        <v>80</v>
      </c>
      <c r="P1410" s="39"/>
      <c r="Q1410" s="39"/>
      <c r="R1410" s="16">
        <v>60</v>
      </c>
      <c r="S1410" s="18">
        <f>R1410*0.4</f>
        <v>24</v>
      </c>
      <c r="T1410" s="18">
        <f>R1410*0.2</f>
        <v>12</v>
      </c>
      <c r="U1410" s="18">
        <f>R1410*0.2</f>
        <v>12</v>
      </c>
      <c r="V1410" s="18">
        <f>R1410*0.2</f>
        <v>12</v>
      </c>
      <c r="W1410" s="18">
        <f>H1410*1.454</f>
        <v>0</v>
      </c>
      <c r="X1410" s="18">
        <f>K1410*1.454</f>
        <v>0</v>
      </c>
      <c r="Y1410" s="86">
        <f t="shared" si="205"/>
        <v>60</v>
      </c>
    </row>
    <row r="1411" spans="1:25" ht="12.75" customHeight="1" outlineLevel="2">
      <c r="A1411" s="160">
        <v>2</v>
      </c>
      <c r="B1411" s="159" t="s">
        <v>372</v>
      </c>
      <c r="C1411" s="159"/>
      <c r="D1411" s="159"/>
      <c r="E1411" s="159"/>
      <c r="F1411" s="159"/>
      <c r="G1411" s="159"/>
      <c r="H1411" s="159"/>
      <c r="I1411" s="159"/>
      <c r="J1411" s="159"/>
      <c r="K1411" s="159"/>
      <c r="L1411" s="159"/>
      <c r="M1411" s="159"/>
      <c r="N1411" s="159"/>
      <c r="O1411" s="159"/>
      <c r="P1411" s="159"/>
      <c r="Q1411" s="159"/>
      <c r="R1411" s="159"/>
      <c r="S1411" s="159"/>
      <c r="T1411" s="159"/>
      <c r="U1411" s="159"/>
      <c r="V1411" s="159"/>
      <c r="W1411" s="159"/>
      <c r="X1411" s="159"/>
      <c r="Y1411" s="86">
        <f t="shared" si="205"/>
        <v>0</v>
      </c>
    </row>
    <row r="1412" spans="1:25" ht="18" outlineLevel="2">
      <c r="A1412" s="160"/>
      <c r="B1412" s="39">
        <f>D1412+G1412+J1412</f>
        <v>8</v>
      </c>
      <c r="C1412" s="40">
        <f>E1412+H1412+K1412</f>
        <v>49.81333333333332</v>
      </c>
      <c r="D1412" s="39">
        <v>8</v>
      </c>
      <c r="E1412" s="16">
        <f>D1412*FORECAST(D1412,AA$6:AA$7,Z$6:Z$7)</f>
        <v>49.81333333333332</v>
      </c>
      <c r="F1412" s="39" t="s">
        <v>460</v>
      </c>
      <c r="G1412" s="39"/>
      <c r="H1412" s="39"/>
      <c r="I1412" s="39"/>
      <c r="J1412" s="39"/>
      <c r="K1412" s="39"/>
      <c r="L1412" s="39"/>
      <c r="M1412" s="39">
        <v>40</v>
      </c>
      <c r="N1412" s="39">
        <v>500</v>
      </c>
      <c r="O1412" s="16">
        <f>C1412/0.92</f>
        <v>54.14492753623187</v>
      </c>
      <c r="P1412" s="39"/>
      <c r="Q1412" s="39"/>
      <c r="R1412" s="16">
        <f>1.454*C1412</f>
        <v>72.42858666666665</v>
      </c>
      <c r="S1412" s="18">
        <f>E1412*1.454*0.4</f>
        <v>28.97143466666666</v>
      </c>
      <c r="T1412" s="18">
        <f>E1412*1.454*0.2</f>
        <v>14.48571733333333</v>
      </c>
      <c r="U1412" s="18">
        <f>E1412*1.454*0.2</f>
        <v>14.48571733333333</v>
      </c>
      <c r="V1412" s="18">
        <f>E1412*1.454*0.2</f>
        <v>14.48571733333333</v>
      </c>
      <c r="W1412" s="18">
        <f>H1412*1.454</f>
        <v>0</v>
      </c>
      <c r="X1412" s="18">
        <f>K1412*1.454</f>
        <v>0</v>
      </c>
      <c r="Y1412" s="86">
        <f t="shared" si="205"/>
        <v>72.42858666666665</v>
      </c>
    </row>
    <row r="1413" spans="1:25" ht="35.25" customHeight="1" outlineLevel="2">
      <c r="A1413" s="6" t="s">
        <v>431</v>
      </c>
      <c r="B1413" s="20">
        <f>B1410+B1412</f>
        <v>48</v>
      </c>
      <c r="C1413" s="23">
        <f>C1410+C1412</f>
        <v>129.81333333333333</v>
      </c>
      <c r="D1413" s="20">
        <f>D1410+D1412</f>
        <v>48</v>
      </c>
      <c r="E1413" s="23">
        <f>E1410+E1412</f>
        <v>129.81333333333333</v>
      </c>
      <c r="F1413" s="20" t="s">
        <v>461</v>
      </c>
      <c r="G1413" s="20">
        <f>G1410+G1412</f>
        <v>0</v>
      </c>
      <c r="H1413" s="20">
        <f>H1410+H1412</f>
        <v>0</v>
      </c>
      <c r="I1413" s="20" t="s">
        <v>441</v>
      </c>
      <c r="J1413" s="20">
        <f>J1410+J1412</f>
        <v>0</v>
      </c>
      <c r="K1413" s="20">
        <f>K1410+K1412</f>
        <v>0</v>
      </c>
      <c r="L1413" s="20" t="s">
        <v>441</v>
      </c>
      <c r="M1413" s="20">
        <f aca="true" t="shared" si="208" ref="M1413:X1413">M1410+M1412</f>
        <v>40</v>
      </c>
      <c r="N1413" s="20">
        <f t="shared" si="208"/>
        <v>970</v>
      </c>
      <c r="O1413" s="23">
        <f t="shared" si="208"/>
        <v>134.14492753623188</v>
      </c>
      <c r="P1413" s="20">
        <f>P1410+P1412</f>
        <v>0</v>
      </c>
      <c r="Q1413" s="20">
        <f t="shared" si="208"/>
        <v>0</v>
      </c>
      <c r="R1413" s="23">
        <f t="shared" si="208"/>
        <v>132.42858666666666</v>
      </c>
      <c r="S1413" s="23">
        <f t="shared" si="208"/>
        <v>52.97143466666666</v>
      </c>
      <c r="T1413" s="23">
        <f t="shared" si="208"/>
        <v>26.48571733333333</v>
      </c>
      <c r="U1413" s="23">
        <f t="shared" si="208"/>
        <v>26.48571733333333</v>
      </c>
      <c r="V1413" s="23">
        <f t="shared" si="208"/>
        <v>26.48571733333333</v>
      </c>
      <c r="W1413" s="23">
        <f t="shared" si="208"/>
        <v>0</v>
      </c>
      <c r="X1413" s="23">
        <f t="shared" si="208"/>
        <v>0</v>
      </c>
      <c r="Y1413" s="86">
        <f t="shared" si="205"/>
        <v>132.42858666666666</v>
      </c>
    </row>
    <row r="1414" spans="1:25" ht="12.75" customHeight="1" outlineLevel="2">
      <c r="A1414" s="160">
        <v>1</v>
      </c>
      <c r="B1414" s="159" t="s">
        <v>654</v>
      </c>
      <c r="C1414" s="159"/>
      <c r="D1414" s="159"/>
      <c r="E1414" s="159"/>
      <c r="F1414" s="159"/>
      <c r="G1414" s="159"/>
      <c r="H1414" s="159"/>
      <c r="I1414" s="159"/>
      <c r="J1414" s="159"/>
      <c r="K1414" s="159"/>
      <c r="L1414" s="159"/>
      <c r="M1414" s="159"/>
      <c r="N1414" s="159"/>
      <c r="O1414" s="159"/>
      <c r="P1414" s="159"/>
      <c r="Q1414" s="159"/>
      <c r="R1414" s="159"/>
      <c r="S1414" s="159"/>
      <c r="T1414" s="159"/>
      <c r="U1414" s="159"/>
      <c r="V1414" s="159"/>
      <c r="W1414" s="159"/>
      <c r="X1414" s="159"/>
      <c r="Y1414" s="86">
        <f t="shared" si="205"/>
        <v>0</v>
      </c>
    </row>
    <row r="1415" spans="1:25" ht="18" outlineLevel="2">
      <c r="A1415" s="160"/>
      <c r="B1415" s="39">
        <f>D1415+G1415+J1415</f>
        <v>18</v>
      </c>
      <c r="C1415" s="40">
        <f>E1415+H1415+K1415</f>
        <v>90</v>
      </c>
      <c r="D1415" s="39">
        <v>18</v>
      </c>
      <c r="E1415" s="16">
        <v>90</v>
      </c>
      <c r="F1415" s="39" t="s">
        <v>461</v>
      </c>
      <c r="G1415" s="39"/>
      <c r="H1415" s="39"/>
      <c r="I1415" s="39"/>
      <c r="J1415" s="39"/>
      <c r="K1415" s="39"/>
      <c r="L1415" s="39"/>
      <c r="M1415" s="39">
        <v>35</v>
      </c>
      <c r="N1415" s="39">
        <v>500</v>
      </c>
      <c r="O1415" s="16">
        <v>100</v>
      </c>
      <c r="P1415" s="39">
        <v>1</v>
      </c>
      <c r="Q1415" s="39">
        <v>100</v>
      </c>
      <c r="R1415" s="16">
        <v>179</v>
      </c>
      <c r="S1415" s="18">
        <f>R1415*0.4</f>
        <v>71.60000000000001</v>
      </c>
      <c r="T1415" s="18">
        <f>R1415*0.2</f>
        <v>35.800000000000004</v>
      </c>
      <c r="U1415" s="18">
        <f>R1415*0.2</f>
        <v>35.800000000000004</v>
      </c>
      <c r="V1415" s="18">
        <f>R1415*0.2</f>
        <v>35.800000000000004</v>
      </c>
      <c r="W1415" s="18">
        <f>H1415*1.454</f>
        <v>0</v>
      </c>
      <c r="X1415" s="18">
        <f>K1415*1.454</f>
        <v>0</v>
      </c>
      <c r="Y1415" s="86">
        <f t="shared" si="205"/>
        <v>179.00000000000003</v>
      </c>
    </row>
    <row r="1416" spans="1:25" ht="12.75" customHeight="1" outlineLevel="2">
      <c r="A1416" s="160">
        <v>1</v>
      </c>
      <c r="B1416" s="157" t="s">
        <v>373</v>
      </c>
      <c r="C1416" s="157"/>
      <c r="D1416" s="157"/>
      <c r="E1416" s="157"/>
      <c r="F1416" s="157"/>
      <c r="G1416" s="157"/>
      <c r="H1416" s="157"/>
      <c r="I1416" s="157"/>
      <c r="J1416" s="157"/>
      <c r="K1416" s="157"/>
      <c r="L1416" s="157"/>
      <c r="M1416" s="157"/>
      <c r="N1416" s="157"/>
      <c r="O1416" s="157"/>
      <c r="P1416" s="157"/>
      <c r="Q1416" s="157"/>
      <c r="R1416" s="157"/>
      <c r="S1416" s="157"/>
      <c r="T1416" s="157"/>
      <c r="U1416" s="157"/>
      <c r="V1416" s="157"/>
      <c r="W1416" s="157"/>
      <c r="X1416" s="157"/>
      <c r="Y1416" s="86">
        <f t="shared" si="205"/>
        <v>0</v>
      </c>
    </row>
    <row r="1417" spans="1:25" ht="18" outlineLevel="2">
      <c r="A1417" s="160"/>
      <c r="B1417" s="39">
        <f>D1417+G1417+J1417</f>
        <v>11</v>
      </c>
      <c r="C1417" s="40">
        <f>E1417+H1417+K1417</f>
        <v>55</v>
      </c>
      <c r="D1417" s="39">
        <v>11</v>
      </c>
      <c r="E1417" s="16">
        <v>55</v>
      </c>
      <c r="F1417" s="39" t="s">
        <v>461</v>
      </c>
      <c r="G1417" s="39"/>
      <c r="H1417" s="39"/>
      <c r="I1417" s="39"/>
      <c r="J1417" s="39"/>
      <c r="K1417" s="39"/>
      <c r="L1417" s="39"/>
      <c r="M1417" s="39">
        <v>40</v>
      </c>
      <c r="N1417" s="39">
        <v>400</v>
      </c>
      <c r="O1417" s="16">
        <v>100</v>
      </c>
      <c r="P1417" s="39">
        <v>1</v>
      </c>
      <c r="Q1417" s="39">
        <v>100</v>
      </c>
      <c r="R1417" s="16">
        <v>168</v>
      </c>
      <c r="S1417" s="18">
        <f>R1417*0.4</f>
        <v>67.2</v>
      </c>
      <c r="T1417" s="18">
        <f>R1417*0.2</f>
        <v>33.6</v>
      </c>
      <c r="U1417" s="18">
        <f>R1417*0.2</f>
        <v>33.6</v>
      </c>
      <c r="V1417" s="18">
        <f>R1417*0.2</f>
        <v>33.6</v>
      </c>
      <c r="W1417" s="18">
        <f>H1417*1.454</f>
        <v>0</v>
      </c>
      <c r="X1417" s="18">
        <f>K1417*1.454</f>
        <v>0</v>
      </c>
      <c r="Y1417" s="86">
        <f t="shared" si="205"/>
        <v>168</v>
      </c>
    </row>
    <row r="1418" spans="1:25" ht="18.75" outlineLevel="2">
      <c r="A1418" s="160">
        <v>1</v>
      </c>
      <c r="B1418" s="157" t="s">
        <v>374</v>
      </c>
      <c r="C1418" s="157"/>
      <c r="D1418" s="157"/>
      <c r="E1418" s="157"/>
      <c r="F1418" s="157"/>
      <c r="G1418" s="157"/>
      <c r="H1418" s="157"/>
      <c r="I1418" s="157"/>
      <c r="J1418" s="157"/>
      <c r="K1418" s="157"/>
      <c r="L1418" s="157"/>
      <c r="M1418" s="157"/>
      <c r="N1418" s="157"/>
      <c r="O1418" s="157"/>
      <c r="P1418" s="157"/>
      <c r="Q1418" s="157"/>
      <c r="R1418" s="157"/>
      <c r="S1418" s="157"/>
      <c r="T1418" s="157"/>
      <c r="U1418" s="157"/>
      <c r="V1418" s="157"/>
      <c r="W1418" s="157"/>
      <c r="X1418" s="157"/>
      <c r="Y1418" s="86">
        <f t="shared" si="205"/>
        <v>0</v>
      </c>
    </row>
    <row r="1419" spans="1:25" ht="18" outlineLevel="2">
      <c r="A1419" s="160"/>
      <c r="B1419" s="39">
        <f>D1419+G1419+J1419</f>
        <v>23</v>
      </c>
      <c r="C1419" s="40">
        <v>115</v>
      </c>
      <c r="D1419" s="39">
        <v>23</v>
      </c>
      <c r="E1419" s="16">
        <v>115</v>
      </c>
      <c r="F1419" s="39" t="s">
        <v>461</v>
      </c>
      <c r="G1419" s="39"/>
      <c r="H1419" s="39"/>
      <c r="I1419" s="39"/>
      <c r="J1419" s="39"/>
      <c r="K1419" s="39"/>
      <c r="L1419" s="39"/>
      <c r="M1419" s="39">
        <v>50</v>
      </c>
      <c r="N1419" s="39">
        <v>600</v>
      </c>
      <c r="O1419" s="16">
        <f>C1419/0.92</f>
        <v>125</v>
      </c>
      <c r="P1419" s="39">
        <v>1</v>
      </c>
      <c r="Q1419" s="39">
        <v>100</v>
      </c>
      <c r="R1419" s="16">
        <v>191</v>
      </c>
      <c r="S1419" s="18">
        <f>R1419*0.4</f>
        <v>76.4</v>
      </c>
      <c r="T1419" s="18">
        <f>R1419*0.2</f>
        <v>38.2</v>
      </c>
      <c r="U1419" s="18">
        <f>R1419*0.2</f>
        <v>38.2</v>
      </c>
      <c r="V1419" s="18">
        <f>R1419*0.2</f>
        <v>38.2</v>
      </c>
      <c r="W1419" s="18">
        <f>H1419*1.454</f>
        <v>0</v>
      </c>
      <c r="X1419" s="18">
        <f>K1419*1.454</f>
        <v>0</v>
      </c>
      <c r="Y1419" s="86">
        <f t="shared" si="205"/>
        <v>191</v>
      </c>
    </row>
    <row r="1420" spans="1:25" ht="12.75" customHeight="1" outlineLevel="2">
      <c r="A1420" s="160">
        <v>2</v>
      </c>
      <c r="B1420" s="159" t="s">
        <v>375</v>
      </c>
      <c r="C1420" s="159"/>
      <c r="D1420" s="159"/>
      <c r="E1420" s="159"/>
      <c r="F1420" s="159"/>
      <c r="G1420" s="159"/>
      <c r="H1420" s="159"/>
      <c r="I1420" s="159"/>
      <c r="J1420" s="159"/>
      <c r="K1420" s="159"/>
      <c r="L1420" s="159"/>
      <c r="M1420" s="159"/>
      <c r="N1420" s="159"/>
      <c r="O1420" s="159"/>
      <c r="P1420" s="159"/>
      <c r="Q1420" s="159"/>
      <c r="R1420" s="159"/>
      <c r="S1420" s="159"/>
      <c r="T1420" s="159"/>
      <c r="U1420" s="159"/>
      <c r="V1420" s="159"/>
      <c r="W1420" s="159"/>
      <c r="X1420" s="159"/>
      <c r="Y1420" s="86">
        <f t="shared" si="205"/>
        <v>0</v>
      </c>
    </row>
    <row r="1421" spans="1:25" ht="18" outlineLevel="2">
      <c r="A1421" s="160"/>
      <c r="B1421" s="39">
        <f>D1421+G1421+J1421</f>
        <v>21</v>
      </c>
      <c r="C1421" s="40">
        <v>105</v>
      </c>
      <c r="D1421" s="39">
        <v>21</v>
      </c>
      <c r="E1421" s="16">
        <v>105</v>
      </c>
      <c r="F1421" s="39" t="s">
        <v>461</v>
      </c>
      <c r="G1421" s="39"/>
      <c r="H1421" s="39"/>
      <c r="I1421" s="39"/>
      <c r="J1421" s="39"/>
      <c r="K1421" s="39"/>
      <c r="L1421" s="39"/>
      <c r="M1421" s="39">
        <v>45</v>
      </c>
      <c r="N1421" s="39">
        <v>600</v>
      </c>
      <c r="O1421" s="16">
        <f>C1421/0.92</f>
        <v>114.13043478260869</v>
      </c>
      <c r="P1421" s="39">
        <v>1</v>
      </c>
      <c r="Q1421" s="39">
        <v>100</v>
      </c>
      <c r="R1421" s="16">
        <v>190</v>
      </c>
      <c r="S1421" s="18">
        <f>R1421*0.4</f>
        <v>76</v>
      </c>
      <c r="T1421" s="18">
        <f>R1421*0.2</f>
        <v>38</v>
      </c>
      <c r="U1421" s="18">
        <f>R1421*0.2</f>
        <v>38</v>
      </c>
      <c r="V1421" s="18">
        <f>R1421*0.2</f>
        <v>38</v>
      </c>
      <c r="W1421" s="18">
        <f>H1421*1.454</f>
        <v>0</v>
      </c>
      <c r="X1421" s="18">
        <f>K1421*1.454</f>
        <v>0</v>
      </c>
      <c r="Y1421" s="86">
        <f t="shared" si="205"/>
        <v>190</v>
      </c>
    </row>
    <row r="1422" spans="1:25" ht="36" outlineLevel="2">
      <c r="A1422" s="6" t="s">
        <v>431</v>
      </c>
      <c r="B1422" s="20">
        <f>B1419+B1421</f>
        <v>44</v>
      </c>
      <c r="C1422" s="23">
        <f>C1419+C1421</f>
        <v>220</v>
      </c>
      <c r="D1422" s="20">
        <f>D1419+D1421</f>
        <v>44</v>
      </c>
      <c r="E1422" s="23">
        <f>E1419+E1421</f>
        <v>220</v>
      </c>
      <c r="F1422" s="20" t="s">
        <v>461</v>
      </c>
      <c r="G1422" s="20">
        <f>G1419+G1421</f>
        <v>0</v>
      </c>
      <c r="H1422" s="20">
        <f>H1419+H1421</f>
        <v>0</v>
      </c>
      <c r="I1422" s="20" t="s">
        <v>441</v>
      </c>
      <c r="J1422" s="20">
        <f>J1419+J1421</f>
        <v>0</v>
      </c>
      <c r="K1422" s="20">
        <f>K1419+K1421</f>
        <v>0</v>
      </c>
      <c r="L1422" s="20" t="s">
        <v>441</v>
      </c>
      <c r="M1422" s="20">
        <f aca="true" t="shared" si="209" ref="M1422:X1422">M1419+M1421</f>
        <v>95</v>
      </c>
      <c r="N1422" s="20">
        <f t="shared" si="209"/>
        <v>1200</v>
      </c>
      <c r="O1422" s="23">
        <f t="shared" si="209"/>
        <v>239.1304347826087</v>
      </c>
      <c r="P1422" s="20">
        <f t="shared" si="209"/>
        <v>2</v>
      </c>
      <c r="Q1422" s="20">
        <f t="shared" si="209"/>
        <v>200</v>
      </c>
      <c r="R1422" s="23">
        <f t="shared" si="209"/>
        <v>381</v>
      </c>
      <c r="S1422" s="23">
        <f t="shared" si="209"/>
        <v>152.4</v>
      </c>
      <c r="T1422" s="23">
        <f t="shared" si="209"/>
        <v>76.2</v>
      </c>
      <c r="U1422" s="23">
        <f t="shared" si="209"/>
        <v>76.2</v>
      </c>
      <c r="V1422" s="23">
        <f t="shared" si="209"/>
        <v>76.2</v>
      </c>
      <c r="W1422" s="23">
        <f t="shared" si="209"/>
        <v>0</v>
      </c>
      <c r="X1422" s="23">
        <f t="shared" si="209"/>
        <v>0</v>
      </c>
      <c r="Y1422" s="86">
        <f t="shared" si="205"/>
        <v>381</v>
      </c>
    </row>
    <row r="1423" spans="1:25" ht="18.75" outlineLevel="2">
      <c r="A1423" s="160">
        <v>1</v>
      </c>
      <c r="B1423" s="157" t="s">
        <v>738</v>
      </c>
      <c r="C1423" s="157"/>
      <c r="D1423" s="157"/>
      <c r="E1423" s="157"/>
      <c r="F1423" s="157"/>
      <c r="G1423" s="157"/>
      <c r="H1423" s="157"/>
      <c r="I1423" s="157"/>
      <c r="J1423" s="157"/>
      <c r="K1423" s="157"/>
      <c r="L1423" s="157"/>
      <c r="M1423" s="157"/>
      <c r="N1423" s="157"/>
      <c r="O1423" s="157"/>
      <c r="P1423" s="157"/>
      <c r="Q1423" s="157"/>
      <c r="R1423" s="157"/>
      <c r="S1423" s="157"/>
      <c r="T1423" s="157"/>
      <c r="U1423" s="157"/>
      <c r="V1423" s="157"/>
      <c r="W1423" s="157"/>
      <c r="X1423" s="157"/>
      <c r="Y1423" s="86">
        <f t="shared" si="205"/>
        <v>0</v>
      </c>
    </row>
    <row r="1424" spans="1:25" ht="17.25" customHeight="1" outlineLevel="2">
      <c r="A1424" s="160"/>
      <c r="B1424" s="39">
        <f>D1424+G1424+J1424</f>
        <v>9</v>
      </c>
      <c r="C1424" s="39">
        <v>45</v>
      </c>
      <c r="D1424" s="39">
        <v>9</v>
      </c>
      <c r="E1424" s="16">
        <v>45</v>
      </c>
      <c r="F1424" s="39" t="s">
        <v>461</v>
      </c>
      <c r="G1424" s="39"/>
      <c r="H1424" s="39"/>
      <c r="I1424" s="39"/>
      <c r="J1424" s="39"/>
      <c r="K1424" s="39"/>
      <c r="L1424" s="39"/>
      <c r="M1424" s="39">
        <v>100</v>
      </c>
      <c r="N1424" s="39">
        <v>4500</v>
      </c>
      <c r="O1424" s="16">
        <v>100</v>
      </c>
      <c r="P1424" s="39">
        <v>1</v>
      </c>
      <c r="Q1424" s="39">
        <v>100</v>
      </c>
      <c r="R1424" s="16">
        <v>710</v>
      </c>
      <c r="S1424" s="18">
        <f>0.4*R1424</f>
        <v>284</v>
      </c>
      <c r="T1424" s="18">
        <f>R1424*0.2</f>
        <v>142</v>
      </c>
      <c r="U1424" s="18">
        <f>R1424*0.2</f>
        <v>142</v>
      </c>
      <c r="V1424" s="18">
        <f>R1424*0.2</f>
        <v>142</v>
      </c>
      <c r="W1424" s="18">
        <f>H1424*1.454</f>
        <v>0</v>
      </c>
      <c r="X1424" s="18">
        <f>K1424*1.454</f>
        <v>0</v>
      </c>
      <c r="Y1424" s="86">
        <f t="shared" si="205"/>
        <v>710</v>
      </c>
    </row>
    <row r="1425" spans="1:25" ht="12.75" customHeight="1" outlineLevel="2">
      <c r="A1425" s="160">
        <v>1</v>
      </c>
      <c r="B1425" s="159" t="s">
        <v>739</v>
      </c>
      <c r="C1425" s="159"/>
      <c r="D1425" s="159"/>
      <c r="E1425" s="159"/>
      <c r="F1425" s="159"/>
      <c r="G1425" s="159"/>
      <c r="H1425" s="159"/>
      <c r="I1425" s="159"/>
      <c r="J1425" s="159"/>
      <c r="K1425" s="159"/>
      <c r="L1425" s="159"/>
      <c r="M1425" s="159"/>
      <c r="N1425" s="159"/>
      <c r="O1425" s="159"/>
      <c r="P1425" s="159"/>
      <c r="Q1425" s="159"/>
      <c r="R1425" s="159"/>
      <c r="S1425" s="159"/>
      <c r="T1425" s="159"/>
      <c r="U1425" s="159"/>
      <c r="V1425" s="159"/>
      <c r="W1425" s="159"/>
      <c r="X1425" s="159"/>
      <c r="Y1425" s="86">
        <f t="shared" si="205"/>
        <v>0</v>
      </c>
    </row>
    <row r="1426" spans="1:25" ht="18" outlineLevel="2">
      <c r="A1426" s="160"/>
      <c r="B1426" s="39">
        <f>D1426+G1426+J1426</f>
        <v>6</v>
      </c>
      <c r="C1426" s="39">
        <f>E1426+H1426+K1426</f>
        <v>30</v>
      </c>
      <c r="D1426" s="39">
        <v>6</v>
      </c>
      <c r="E1426" s="16">
        <v>30</v>
      </c>
      <c r="F1426" s="39" t="s">
        <v>461</v>
      </c>
      <c r="G1426" s="39"/>
      <c r="H1426" s="39"/>
      <c r="I1426" s="39"/>
      <c r="J1426" s="39"/>
      <c r="K1426" s="39"/>
      <c r="L1426" s="39"/>
      <c r="M1426" s="39">
        <v>1200</v>
      </c>
      <c r="N1426" s="39">
        <v>4000</v>
      </c>
      <c r="O1426" s="16">
        <v>63</v>
      </c>
      <c r="P1426" s="39">
        <v>1</v>
      </c>
      <c r="Q1426" s="39">
        <v>63</v>
      </c>
      <c r="R1426" s="16">
        <v>654</v>
      </c>
      <c r="S1426" s="18">
        <f>0.4*R1426</f>
        <v>261.6</v>
      </c>
      <c r="T1426" s="18">
        <f>0.2*R1426</f>
        <v>130.8</v>
      </c>
      <c r="U1426" s="18">
        <f>R1426*0.2</f>
        <v>130.8</v>
      </c>
      <c r="V1426" s="18">
        <f>R1426*0.2</f>
        <v>130.8</v>
      </c>
      <c r="W1426" s="18">
        <f>H1426*1.454</f>
        <v>0</v>
      </c>
      <c r="X1426" s="18">
        <f>K1426*1.454</f>
        <v>0</v>
      </c>
      <c r="Y1426" s="86">
        <f t="shared" si="205"/>
        <v>654</v>
      </c>
    </row>
    <row r="1427" spans="1:25" ht="12.75" customHeight="1" outlineLevel="2">
      <c r="A1427" s="160">
        <v>1</v>
      </c>
      <c r="B1427" s="159" t="s">
        <v>376</v>
      </c>
      <c r="C1427" s="159"/>
      <c r="D1427" s="159"/>
      <c r="E1427" s="159"/>
      <c r="F1427" s="159"/>
      <c r="G1427" s="159"/>
      <c r="H1427" s="159"/>
      <c r="I1427" s="159"/>
      <c r="J1427" s="159"/>
      <c r="K1427" s="159"/>
      <c r="L1427" s="159"/>
      <c r="M1427" s="159"/>
      <c r="N1427" s="159"/>
      <c r="O1427" s="159"/>
      <c r="P1427" s="159"/>
      <c r="Q1427" s="159"/>
      <c r="R1427" s="159"/>
      <c r="S1427" s="159"/>
      <c r="T1427" s="159"/>
      <c r="U1427" s="159"/>
      <c r="V1427" s="159"/>
      <c r="W1427" s="159"/>
      <c r="X1427" s="159"/>
      <c r="Y1427" s="86">
        <f t="shared" si="205"/>
        <v>0</v>
      </c>
    </row>
    <row r="1428" spans="1:25" ht="18" outlineLevel="2">
      <c r="A1428" s="160"/>
      <c r="B1428" s="39">
        <f>D1428+G1428+J1428</f>
        <v>50</v>
      </c>
      <c r="C1428" s="40">
        <f>E1428+H1428+K1428</f>
        <v>126</v>
      </c>
      <c r="D1428" s="39">
        <v>50</v>
      </c>
      <c r="E1428" s="16">
        <f>D1428*FORECAST(D1428,AA$12:AA$13,Z$12:Z$13)</f>
        <v>126</v>
      </c>
      <c r="F1428" s="39" t="s">
        <v>461</v>
      </c>
      <c r="G1428" s="39"/>
      <c r="H1428" s="39"/>
      <c r="I1428" s="39"/>
      <c r="J1428" s="39"/>
      <c r="K1428" s="39"/>
      <c r="L1428" s="39"/>
      <c r="M1428" s="39">
        <v>245</v>
      </c>
      <c r="N1428" s="39">
        <v>1500</v>
      </c>
      <c r="O1428" s="16">
        <f>C1428/0.92</f>
        <v>136.95652173913044</v>
      </c>
      <c r="P1428" s="39">
        <v>1</v>
      </c>
      <c r="Q1428" s="39">
        <v>160</v>
      </c>
      <c r="R1428" s="16">
        <f>1.454*C1428</f>
        <v>183.204</v>
      </c>
      <c r="S1428" s="18">
        <f>E1428*1.454*0.4</f>
        <v>73.28160000000001</v>
      </c>
      <c r="T1428" s="18">
        <f>E1428*1.454*0.2</f>
        <v>36.640800000000006</v>
      </c>
      <c r="U1428" s="18">
        <f>E1428*1.454*0.2</f>
        <v>36.640800000000006</v>
      </c>
      <c r="V1428" s="18">
        <f>E1428*1.454*0.2</f>
        <v>36.640800000000006</v>
      </c>
      <c r="W1428" s="18">
        <f>H1428*1.454</f>
        <v>0</v>
      </c>
      <c r="X1428" s="18">
        <f>K1428*1.454</f>
        <v>0</v>
      </c>
      <c r="Y1428" s="86">
        <f t="shared" si="205"/>
        <v>183.20400000000004</v>
      </c>
    </row>
    <row r="1429" spans="1:25" ht="12.75" customHeight="1" outlineLevel="2">
      <c r="A1429" s="160">
        <v>2</v>
      </c>
      <c r="B1429" s="159" t="s">
        <v>377</v>
      </c>
      <c r="C1429" s="159"/>
      <c r="D1429" s="159"/>
      <c r="E1429" s="159"/>
      <c r="F1429" s="159"/>
      <c r="G1429" s="159"/>
      <c r="H1429" s="159"/>
      <c r="I1429" s="159"/>
      <c r="J1429" s="159"/>
      <c r="K1429" s="159"/>
      <c r="L1429" s="159"/>
      <c r="M1429" s="159"/>
      <c r="N1429" s="159"/>
      <c r="O1429" s="159"/>
      <c r="P1429" s="159"/>
      <c r="Q1429" s="159"/>
      <c r="R1429" s="159"/>
      <c r="S1429" s="159"/>
      <c r="T1429" s="159"/>
      <c r="U1429" s="159"/>
      <c r="V1429" s="159"/>
      <c r="W1429" s="159"/>
      <c r="X1429" s="159"/>
      <c r="Y1429" s="86">
        <f t="shared" si="205"/>
        <v>0</v>
      </c>
    </row>
    <row r="1430" spans="1:25" ht="12.75" customHeight="1" outlineLevel="2">
      <c r="A1430" s="160"/>
      <c r="B1430" s="39">
        <f>D1430+G1430+J1430</f>
        <v>40</v>
      </c>
      <c r="C1430" s="39">
        <v>200</v>
      </c>
      <c r="D1430" s="39">
        <v>40</v>
      </c>
      <c r="E1430" s="16">
        <v>200</v>
      </c>
      <c r="F1430" s="39" t="s">
        <v>462</v>
      </c>
      <c r="G1430" s="39"/>
      <c r="H1430" s="39"/>
      <c r="I1430" s="39"/>
      <c r="J1430" s="39"/>
      <c r="K1430" s="39"/>
      <c r="L1430" s="39"/>
      <c r="M1430" s="39">
        <v>220</v>
      </c>
      <c r="N1430" s="39">
        <v>1350</v>
      </c>
      <c r="O1430" s="16">
        <v>160</v>
      </c>
      <c r="P1430" s="39">
        <v>1</v>
      </c>
      <c r="Q1430" s="39">
        <v>160</v>
      </c>
      <c r="R1430" s="16">
        <v>119.6</v>
      </c>
      <c r="S1430" s="18">
        <f>R1430*0.4</f>
        <v>47.84</v>
      </c>
      <c r="T1430" s="18">
        <f>R1430*0.2</f>
        <v>23.92</v>
      </c>
      <c r="U1430" s="18">
        <f>R1430*0.2</f>
        <v>23.92</v>
      </c>
      <c r="V1430" s="18">
        <f>R1430*0.2</f>
        <v>23.92</v>
      </c>
      <c r="W1430" s="18">
        <f>H1430*1.454</f>
        <v>0</v>
      </c>
      <c r="X1430" s="18">
        <f>K1430*1.454</f>
        <v>0</v>
      </c>
      <c r="Y1430" s="86">
        <f t="shared" si="205"/>
        <v>119.60000000000001</v>
      </c>
    </row>
    <row r="1431" spans="1:25" ht="12.75" customHeight="1" outlineLevel="2">
      <c r="A1431" s="160">
        <v>2</v>
      </c>
      <c r="B1431" s="159" t="s">
        <v>717</v>
      </c>
      <c r="C1431" s="159"/>
      <c r="D1431" s="159"/>
      <c r="E1431" s="159"/>
      <c r="F1431" s="159"/>
      <c r="G1431" s="159"/>
      <c r="H1431" s="159"/>
      <c r="I1431" s="159"/>
      <c r="J1431" s="159"/>
      <c r="K1431" s="159"/>
      <c r="L1431" s="159"/>
      <c r="M1431" s="159"/>
      <c r="N1431" s="159"/>
      <c r="O1431" s="159"/>
      <c r="P1431" s="159"/>
      <c r="Q1431" s="159"/>
      <c r="R1431" s="159"/>
      <c r="S1431" s="159"/>
      <c r="T1431" s="159"/>
      <c r="U1431" s="159"/>
      <c r="V1431" s="159"/>
      <c r="W1431" s="159"/>
      <c r="X1431" s="159"/>
      <c r="Y1431" s="86">
        <f t="shared" si="205"/>
        <v>0</v>
      </c>
    </row>
    <row r="1432" spans="1:25" ht="12.75" customHeight="1" outlineLevel="2">
      <c r="A1432" s="160"/>
      <c r="B1432" s="39">
        <v>50</v>
      </c>
      <c r="C1432" s="39">
        <v>250</v>
      </c>
      <c r="D1432" s="39">
        <v>50</v>
      </c>
      <c r="E1432" s="16">
        <v>250</v>
      </c>
      <c r="F1432" s="39" t="s">
        <v>462</v>
      </c>
      <c r="G1432" s="39"/>
      <c r="H1432" s="39"/>
      <c r="I1432" s="39"/>
      <c r="J1432" s="39"/>
      <c r="K1432" s="39"/>
      <c r="L1432" s="39"/>
      <c r="M1432" s="39">
        <v>245</v>
      </c>
      <c r="N1432" s="39">
        <v>1500</v>
      </c>
      <c r="O1432" s="16">
        <v>160</v>
      </c>
      <c r="P1432" s="39">
        <v>1</v>
      </c>
      <c r="Q1432" s="39">
        <v>160</v>
      </c>
      <c r="R1432" s="16">
        <v>239.2</v>
      </c>
      <c r="S1432" s="18">
        <f>R1432*0.4</f>
        <v>95.68</v>
      </c>
      <c r="T1432" s="18">
        <f>R1432*0.2</f>
        <v>47.84</v>
      </c>
      <c r="U1432" s="18">
        <f>R1432*0.2</f>
        <v>47.84</v>
      </c>
      <c r="V1432" s="18">
        <f>R1432*0.2</f>
        <v>47.84</v>
      </c>
      <c r="W1432" s="18">
        <f>H1432*1.454</f>
        <v>0</v>
      </c>
      <c r="X1432" s="18">
        <f>K1432*1.454</f>
        <v>0</v>
      </c>
      <c r="Y1432" s="86">
        <f t="shared" si="205"/>
        <v>239.20000000000002</v>
      </c>
    </row>
    <row r="1433" spans="1:25" ht="36" outlineLevel="2">
      <c r="A1433" s="6" t="s">
        <v>431</v>
      </c>
      <c r="B1433" s="20">
        <f>B1428+B1430+B1432</f>
        <v>140</v>
      </c>
      <c r="C1433" s="20">
        <f aca="true" t="shared" si="210" ref="C1433:X1433">C1428+C1430+C1432</f>
        <v>576</v>
      </c>
      <c r="D1433" s="20">
        <f t="shared" si="210"/>
        <v>140</v>
      </c>
      <c r="E1433" s="20">
        <f t="shared" si="210"/>
        <v>576</v>
      </c>
      <c r="F1433" s="20" t="s">
        <v>433</v>
      </c>
      <c r="G1433" s="20">
        <f t="shared" si="210"/>
        <v>0</v>
      </c>
      <c r="H1433" s="20">
        <f t="shared" si="210"/>
        <v>0</v>
      </c>
      <c r="I1433" s="20" t="s">
        <v>698</v>
      </c>
      <c r="J1433" s="20">
        <f t="shared" si="210"/>
        <v>0</v>
      </c>
      <c r="K1433" s="20">
        <f t="shared" si="210"/>
        <v>0</v>
      </c>
      <c r="L1433" s="20" t="s">
        <v>698</v>
      </c>
      <c r="M1433" s="20">
        <f t="shared" si="210"/>
        <v>710</v>
      </c>
      <c r="N1433" s="20">
        <f t="shared" si="210"/>
        <v>4350</v>
      </c>
      <c r="O1433" s="20">
        <f t="shared" si="210"/>
        <v>456.95652173913044</v>
      </c>
      <c r="P1433" s="20">
        <f t="shared" si="210"/>
        <v>3</v>
      </c>
      <c r="Q1433" s="20">
        <f t="shared" si="210"/>
        <v>480</v>
      </c>
      <c r="R1433" s="23">
        <f t="shared" si="210"/>
        <v>542.0039999999999</v>
      </c>
      <c r="S1433" s="23">
        <f t="shared" si="210"/>
        <v>216.8016</v>
      </c>
      <c r="T1433" s="23">
        <f t="shared" si="210"/>
        <v>108.4008</v>
      </c>
      <c r="U1433" s="23">
        <f t="shared" si="210"/>
        <v>108.4008</v>
      </c>
      <c r="V1433" s="23">
        <f t="shared" si="210"/>
        <v>108.4008</v>
      </c>
      <c r="W1433" s="20">
        <f t="shared" si="210"/>
        <v>0</v>
      </c>
      <c r="X1433" s="20">
        <f t="shared" si="210"/>
        <v>0</v>
      </c>
      <c r="Y1433" s="86">
        <f t="shared" si="205"/>
        <v>542.004</v>
      </c>
    </row>
    <row r="1434" spans="1:25" ht="12.75" customHeight="1" outlineLevel="2">
      <c r="A1434" s="160">
        <v>1</v>
      </c>
      <c r="B1434" s="159" t="s">
        <v>378</v>
      </c>
      <c r="C1434" s="159"/>
      <c r="D1434" s="159"/>
      <c r="E1434" s="159"/>
      <c r="F1434" s="159"/>
      <c r="G1434" s="159"/>
      <c r="H1434" s="159"/>
      <c r="I1434" s="159"/>
      <c r="J1434" s="159"/>
      <c r="K1434" s="159"/>
      <c r="L1434" s="159"/>
      <c r="M1434" s="159"/>
      <c r="N1434" s="159"/>
      <c r="O1434" s="159"/>
      <c r="P1434" s="159"/>
      <c r="Q1434" s="159"/>
      <c r="R1434" s="159"/>
      <c r="S1434" s="159"/>
      <c r="T1434" s="159"/>
      <c r="U1434" s="159"/>
      <c r="V1434" s="159"/>
      <c r="W1434" s="159"/>
      <c r="X1434" s="159"/>
      <c r="Y1434" s="86">
        <f t="shared" si="205"/>
        <v>0</v>
      </c>
    </row>
    <row r="1435" spans="1:25" ht="17.25" customHeight="1" outlineLevel="2">
      <c r="A1435" s="160"/>
      <c r="B1435" s="39">
        <f>D1435+G1435+J1435</f>
        <v>23</v>
      </c>
      <c r="C1435" s="41">
        <v>115</v>
      </c>
      <c r="D1435" s="39">
        <v>23</v>
      </c>
      <c r="E1435" s="16">
        <v>115</v>
      </c>
      <c r="F1435" s="39" t="s">
        <v>453</v>
      </c>
      <c r="G1435" s="39"/>
      <c r="H1435" s="39"/>
      <c r="I1435" s="39"/>
      <c r="J1435" s="39"/>
      <c r="K1435" s="39"/>
      <c r="L1435" s="39"/>
      <c r="M1435" s="39">
        <v>85</v>
      </c>
      <c r="N1435" s="39">
        <v>1000</v>
      </c>
      <c r="O1435" s="16">
        <v>100</v>
      </c>
      <c r="P1435" s="39">
        <v>1</v>
      </c>
      <c r="Q1435" s="39">
        <v>100</v>
      </c>
      <c r="R1435" s="16">
        <v>240</v>
      </c>
      <c r="S1435" s="18">
        <f>R1435*0.4</f>
        <v>96</v>
      </c>
      <c r="T1435" s="18">
        <f>R1435*0.2</f>
        <v>48</v>
      </c>
      <c r="U1435" s="18">
        <f>R1435*0.2</f>
        <v>48</v>
      </c>
      <c r="V1435" s="18">
        <f>R1435*0.2</f>
        <v>48</v>
      </c>
      <c r="W1435" s="18">
        <f>H1435*1.454</f>
        <v>0</v>
      </c>
      <c r="X1435" s="18">
        <f>K1435*1.454</f>
        <v>0</v>
      </c>
      <c r="Y1435" s="86">
        <f t="shared" si="205"/>
        <v>240</v>
      </c>
    </row>
    <row r="1436" spans="1:25" ht="12.75" customHeight="1" outlineLevel="2">
      <c r="A1436" s="160">
        <v>2</v>
      </c>
      <c r="B1436" s="159" t="s">
        <v>379</v>
      </c>
      <c r="C1436" s="159"/>
      <c r="D1436" s="159"/>
      <c r="E1436" s="159"/>
      <c r="F1436" s="159"/>
      <c r="G1436" s="159"/>
      <c r="H1436" s="159"/>
      <c r="I1436" s="159"/>
      <c r="J1436" s="159"/>
      <c r="K1436" s="159"/>
      <c r="L1436" s="159"/>
      <c r="M1436" s="159"/>
      <c r="N1436" s="159"/>
      <c r="O1436" s="159"/>
      <c r="P1436" s="159"/>
      <c r="Q1436" s="159"/>
      <c r="R1436" s="159"/>
      <c r="S1436" s="159"/>
      <c r="T1436" s="159"/>
      <c r="U1436" s="159"/>
      <c r="V1436" s="159"/>
      <c r="W1436" s="159"/>
      <c r="X1436" s="159"/>
      <c r="Y1436" s="86">
        <f t="shared" si="205"/>
        <v>0</v>
      </c>
    </row>
    <row r="1437" spans="1:25" ht="12.75" customHeight="1" outlineLevel="2">
      <c r="A1437" s="160"/>
      <c r="B1437" s="39">
        <f>D1437+G1437+J1437</f>
        <v>20</v>
      </c>
      <c r="C1437" s="39">
        <f>E1437+H1437+K1437</f>
        <v>100</v>
      </c>
      <c r="D1437" s="39">
        <v>20</v>
      </c>
      <c r="E1437" s="16">
        <v>100</v>
      </c>
      <c r="F1437" s="39" t="s">
        <v>453</v>
      </c>
      <c r="G1437" s="39"/>
      <c r="H1437" s="39"/>
      <c r="I1437" s="39"/>
      <c r="J1437" s="39"/>
      <c r="K1437" s="39"/>
      <c r="L1437" s="39"/>
      <c r="M1437" s="39">
        <v>40</v>
      </c>
      <c r="N1437" s="39">
        <v>500</v>
      </c>
      <c r="O1437" s="16">
        <v>100</v>
      </c>
      <c r="P1437" s="39">
        <v>1</v>
      </c>
      <c r="Q1437" s="39">
        <v>100</v>
      </c>
      <c r="R1437" s="16">
        <v>179</v>
      </c>
      <c r="S1437" s="18">
        <f>R1437*0.4</f>
        <v>71.60000000000001</v>
      </c>
      <c r="T1437" s="18">
        <f>R1437*0.2</f>
        <v>35.800000000000004</v>
      </c>
      <c r="U1437" s="18">
        <f>R1437*0.2</f>
        <v>35.800000000000004</v>
      </c>
      <c r="V1437" s="18">
        <f>R1437*0.2</f>
        <v>35.800000000000004</v>
      </c>
      <c r="W1437" s="18">
        <f>H1437*1.454</f>
        <v>0</v>
      </c>
      <c r="X1437" s="18">
        <f>K1437*1.454</f>
        <v>0</v>
      </c>
      <c r="Y1437" s="86">
        <f t="shared" si="205"/>
        <v>179.00000000000003</v>
      </c>
    </row>
    <row r="1438" spans="1:25" ht="36" outlineLevel="2">
      <c r="A1438" s="6" t="s">
        <v>431</v>
      </c>
      <c r="B1438" s="20">
        <f>B1435+B1437</f>
        <v>43</v>
      </c>
      <c r="C1438" s="42">
        <f>C1435+C1437</f>
        <v>215</v>
      </c>
      <c r="D1438" s="20">
        <f>D1435+D1437</f>
        <v>43</v>
      </c>
      <c r="E1438" s="69">
        <f>E1435+E1437</f>
        <v>215</v>
      </c>
      <c r="F1438" s="20" t="s">
        <v>453</v>
      </c>
      <c r="G1438" s="20">
        <f>G1435+G1437</f>
        <v>0</v>
      </c>
      <c r="H1438" s="20">
        <f>H1435+H1437</f>
        <v>0</v>
      </c>
      <c r="I1438" s="20" t="s">
        <v>441</v>
      </c>
      <c r="J1438" s="20">
        <f>J1435+J1437</f>
        <v>0</v>
      </c>
      <c r="K1438" s="20">
        <f>K1435+K1437</f>
        <v>0</v>
      </c>
      <c r="L1438" s="20" t="s">
        <v>441</v>
      </c>
      <c r="M1438" s="20">
        <f aca="true" t="shared" si="211" ref="M1438:X1438">M1435+M1437</f>
        <v>125</v>
      </c>
      <c r="N1438" s="20">
        <f t="shared" si="211"/>
        <v>1500</v>
      </c>
      <c r="O1438" s="23">
        <f t="shared" si="211"/>
        <v>200</v>
      </c>
      <c r="P1438" s="20">
        <f t="shared" si="211"/>
        <v>2</v>
      </c>
      <c r="Q1438" s="20">
        <f t="shared" si="211"/>
        <v>200</v>
      </c>
      <c r="R1438" s="23">
        <f t="shared" si="211"/>
        <v>419</v>
      </c>
      <c r="S1438" s="23">
        <f t="shared" si="211"/>
        <v>167.60000000000002</v>
      </c>
      <c r="T1438" s="23">
        <f t="shared" si="211"/>
        <v>83.80000000000001</v>
      </c>
      <c r="U1438" s="23">
        <f t="shared" si="211"/>
        <v>83.80000000000001</v>
      </c>
      <c r="V1438" s="23">
        <f t="shared" si="211"/>
        <v>83.80000000000001</v>
      </c>
      <c r="W1438" s="23">
        <f t="shared" si="211"/>
        <v>0</v>
      </c>
      <c r="X1438" s="23">
        <f t="shared" si="211"/>
        <v>0</v>
      </c>
      <c r="Y1438" s="86">
        <f t="shared" si="205"/>
        <v>419.00000000000006</v>
      </c>
    </row>
    <row r="1439" spans="1:25" ht="12.75" customHeight="1" outlineLevel="2">
      <c r="A1439" s="160">
        <v>1</v>
      </c>
      <c r="B1439" s="159" t="s">
        <v>380</v>
      </c>
      <c r="C1439" s="159"/>
      <c r="D1439" s="159"/>
      <c r="E1439" s="159"/>
      <c r="F1439" s="159"/>
      <c r="G1439" s="159"/>
      <c r="H1439" s="159"/>
      <c r="I1439" s="159"/>
      <c r="J1439" s="159"/>
      <c r="K1439" s="159"/>
      <c r="L1439" s="159"/>
      <c r="M1439" s="159"/>
      <c r="N1439" s="159"/>
      <c r="O1439" s="159"/>
      <c r="P1439" s="159"/>
      <c r="Q1439" s="159"/>
      <c r="R1439" s="159"/>
      <c r="S1439" s="159"/>
      <c r="T1439" s="159"/>
      <c r="U1439" s="159"/>
      <c r="V1439" s="159"/>
      <c r="W1439" s="159"/>
      <c r="X1439" s="159"/>
      <c r="Y1439" s="86">
        <f t="shared" si="205"/>
        <v>0</v>
      </c>
    </row>
    <row r="1440" spans="1:25" ht="12.75" customHeight="1" outlineLevel="2">
      <c r="A1440" s="160"/>
      <c r="B1440" s="39">
        <f>D1440+G1440+J1440</f>
        <v>15</v>
      </c>
      <c r="C1440" s="39">
        <v>75</v>
      </c>
      <c r="D1440" s="39">
        <v>15</v>
      </c>
      <c r="E1440" s="16">
        <v>75</v>
      </c>
      <c r="F1440" s="39" t="s">
        <v>453</v>
      </c>
      <c r="G1440" s="39"/>
      <c r="H1440" s="39"/>
      <c r="I1440" s="39"/>
      <c r="J1440" s="39"/>
      <c r="K1440" s="39"/>
      <c r="L1440" s="39"/>
      <c r="M1440" s="39">
        <v>235</v>
      </c>
      <c r="N1440" s="39">
        <v>300</v>
      </c>
      <c r="O1440" s="16">
        <v>100</v>
      </c>
      <c r="P1440" s="39">
        <v>1</v>
      </c>
      <c r="Q1440" s="39">
        <v>100</v>
      </c>
      <c r="R1440" s="16">
        <v>175</v>
      </c>
      <c r="S1440" s="18">
        <f>R1440*0.4</f>
        <v>70</v>
      </c>
      <c r="T1440" s="18">
        <f>R1440*0.2</f>
        <v>35</v>
      </c>
      <c r="U1440" s="18">
        <f>R1440*0.2</f>
        <v>35</v>
      </c>
      <c r="V1440" s="18">
        <f>R1440*0.2</f>
        <v>35</v>
      </c>
      <c r="W1440" s="18">
        <f>H1440*1.454</f>
        <v>0</v>
      </c>
      <c r="X1440" s="18">
        <f>K1440*1.454</f>
        <v>0</v>
      </c>
      <c r="Y1440" s="86">
        <f t="shared" si="205"/>
        <v>175</v>
      </c>
    </row>
    <row r="1441" spans="1:25" ht="12.75" customHeight="1" outlineLevel="2">
      <c r="A1441" s="160">
        <v>2</v>
      </c>
      <c r="B1441" s="159" t="s">
        <v>381</v>
      </c>
      <c r="C1441" s="159"/>
      <c r="D1441" s="159"/>
      <c r="E1441" s="159"/>
      <c r="F1441" s="159"/>
      <c r="G1441" s="159"/>
      <c r="H1441" s="159"/>
      <c r="I1441" s="159"/>
      <c r="J1441" s="159"/>
      <c r="K1441" s="159"/>
      <c r="L1441" s="159"/>
      <c r="M1441" s="159"/>
      <c r="N1441" s="159"/>
      <c r="O1441" s="159"/>
      <c r="P1441" s="159"/>
      <c r="Q1441" s="159"/>
      <c r="R1441" s="159"/>
      <c r="S1441" s="159"/>
      <c r="T1441" s="159"/>
      <c r="U1441" s="159"/>
      <c r="V1441" s="159"/>
      <c r="W1441" s="159"/>
      <c r="X1441" s="159"/>
      <c r="Y1441" s="86">
        <f t="shared" si="205"/>
        <v>0</v>
      </c>
    </row>
    <row r="1442" spans="1:25" ht="12.75" customHeight="1" outlineLevel="2">
      <c r="A1442" s="160"/>
      <c r="B1442" s="39">
        <f>D1442+G1442+J1442</f>
        <v>19</v>
      </c>
      <c r="C1442" s="40">
        <v>95</v>
      </c>
      <c r="D1442" s="39">
        <v>19</v>
      </c>
      <c r="E1442" s="16">
        <v>95</v>
      </c>
      <c r="F1442" s="39" t="s">
        <v>453</v>
      </c>
      <c r="G1442" s="39"/>
      <c r="H1442" s="39"/>
      <c r="I1442" s="39"/>
      <c r="J1442" s="39"/>
      <c r="K1442" s="39"/>
      <c r="L1442" s="39"/>
      <c r="M1442" s="39">
        <v>240</v>
      </c>
      <c r="N1442" s="39">
        <v>350</v>
      </c>
      <c r="O1442" s="16">
        <v>100</v>
      </c>
      <c r="P1442" s="39">
        <v>1</v>
      </c>
      <c r="Q1442" s="39">
        <v>100</v>
      </c>
      <c r="R1442" s="16">
        <v>178</v>
      </c>
      <c r="S1442" s="18">
        <f>R1442*0.4</f>
        <v>71.2</v>
      </c>
      <c r="T1442" s="18">
        <f>R1442*0.2</f>
        <v>35.6</v>
      </c>
      <c r="U1442" s="18">
        <f>R1442*0.2</f>
        <v>35.6</v>
      </c>
      <c r="V1442" s="18">
        <f>R1442*0.2</f>
        <v>35.6</v>
      </c>
      <c r="W1442" s="18">
        <f>H1442*1.454</f>
        <v>0</v>
      </c>
      <c r="X1442" s="18">
        <f>K1442*1.454</f>
        <v>0</v>
      </c>
      <c r="Y1442" s="86">
        <f t="shared" si="205"/>
        <v>178</v>
      </c>
    </row>
    <row r="1443" spans="1:25" ht="36" outlineLevel="2">
      <c r="A1443" s="6" t="s">
        <v>431</v>
      </c>
      <c r="B1443" s="20">
        <f>B1440+B1442</f>
        <v>34</v>
      </c>
      <c r="C1443" s="23">
        <f>C1440+C1442</f>
        <v>170</v>
      </c>
      <c r="D1443" s="20">
        <f>D1440+D1442</f>
        <v>34</v>
      </c>
      <c r="E1443" s="23">
        <f>E1440+E1442</f>
        <v>170</v>
      </c>
      <c r="F1443" s="20" t="s">
        <v>453</v>
      </c>
      <c r="G1443" s="20">
        <f>G1440+G1442</f>
        <v>0</v>
      </c>
      <c r="H1443" s="20">
        <f>H1440+H1442</f>
        <v>0</v>
      </c>
      <c r="I1443" s="20" t="s">
        <v>441</v>
      </c>
      <c r="J1443" s="20">
        <f>J1440+J1442</f>
        <v>0</v>
      </c>
      <c r="K1443" s="20">
        <f>K1440+K1442</f>
        <v>0</v>
      </c>
      <c r="L1443" s="20" t="s">
        <v>441</v>
      </c>
      <c r="M1443" s="20">
        <f aca="true" t="shared" si="212" ref="M1443:X1443">M1440+M1442</f>
        <v>475</v>
      </c>
      <c r="N1443" s="20">
        <f t="shared" si="212"/>
        <v>650</v>
      </c>
      <c r="O1443" s="23">
        <f t="shared" si="212"/>
        <v>200</v>
      </c>
      <c r="P1443" s="20">
        <f t="shared" si="212"/>
        <v>2</v>
      </c>
      <c r="Q1443" s="20">
        <f t="shared" si="212"/>
        <v>200</v>
      </c>
      <c r="R1443" s="23">
        <f t="shared" si="212"/>
        <v>353</v>
      </c>
      <c r="S1443" s="23">
        <f t="shared" si="212"/>
        <v>141.2</v>
      </c>
      <c r="T1443" s="23">
        <f t="shared" si="212"/>
        <v>70.6</v>
      </c>
      <c r="U1443" s="23">
        <f t="shared" si="212"/>
        <v>70.6</v>
      </c>
      <c r="V1443" s="23">
        <f t="shared" si="212"/>
        <v>70.6</v>
      </c>
      <c r="W1443" s="23">
        <f t="shared" si="212"/>
        <v>0</v>
      </c>
      <c r="X1443" s="23">
        <f t="shared" si="212"/>
        <v>0</v>
      </c>
      <c r="Y1443" s="86">
        <f t="shared" si="205"/>
        <v>353</v>
      </c>
    </row>
    <row r="1444" spans="1:25" ht="12.75" customHeight="1" outlineLevel="2">
      <c r="A1444" s="160">
        <v>1</v>
      </c>
      <c r="B1444" s="159" t="s">
        <v>382</v>
      </c>
      <c r="C1444" s="159"/>
      <c r="D1444" s="159"/>
      <c r="E1444" s="159"/>
      <c r="F1444" s="159"/>
      <c r="G1444" s="159"/>
      <c r="H1444" s="159"/>
      <c r="I1444" s="159"/>
      <c r="J1444" s="159"/>
      <c r="K1444" s="159"/>
      <c r="L1444" s="159"/>
      <c r="M1444" s="159"/>
      <c r="N1444" s="159"/>
      <c r="O1444" s="159"/>
      <c r="P1444" s="159"/>
      <c r="Q1444" s="159"/>
      <c r="R1444" s="159"/>
      <c r="S1444" s="159"/>
      <c r="T1444" s="159"/>
      <c r="U1444" s="159"/>
      <c r="V1444" s="159"/>
      <c r="W1444" s="159"/>
      <c r="X1444" s="159"/>
      <c r="Y1444" s="86">
        <f t="shared" si="205"/>
        <v>0</v>
      </c>
    </row>
    <row r="1445" spans="1:25" ht="12.75" customHeight="1" outlineLevel="2">
      <c r="A1445" s="160"/>
      <c r="B1445" s="39">
        <f>D1445+G1445+J1445</f>
        <v>16</v>
      </c>
      <c r="C1445" s="39">
        <v>80</v>
      </c>
      <c r="D1445" s="39">
        <v>16</v>
      </c>
      <c r="E1445" s="16">
        <v>80</v>
      </c>
      <c r="F1445" s="39" t="s">
        <v>453</v>
      </c>
      <c r="G1445" s="39"/>
      <c r="H1445" s="39"/>
      <c r="I1445" s="39"/>
      <c r="J1445" s="39"/>
      <c r="K1445" s="39"/>
      <c r="L1445" s="39"/>
      <c r="M1445" s="39"/>
      <c r="N1445" s="39">
        <v>600</v>
      </c>
      <c r="O1445" s="16">
        <f>C1445/0.92</f>
        <v>86.95652173913044</v>
      </c>
      <c r="P1445" s="39"/>
      <c r="Q1445" s="39"/>
      <c r="R1445" s="16">
        <v>66</v>
      </c>
      <c r="S1445" s="18">
        <f>R1445*0.4</f>
        <v>26.400000000000002</v>
      </c>
      <c r="T1445" s="18">
        <f>R1445*0.2</f>
        <v>13.200000000000001</v>
      </c>
      <c r="U1445" s="18">
        <f>R1445*0.2</f>
        <v>13.200000000000001</v>
      </c>
      <c r="V1445" s="18">
        <f>R1445*0.2</f>
        <v>13.200000000000001</v>
      </c>
      <c r="W1445" s="18">
        <f>H1445*1.454</f>
        <v>0</v>
      </c>
      <c r="X1445" s="18">
        <f>K1445*1.454</f>
        <v>0</v>
      </c>
      <c r="Y1445" s="86">
        <f t="shared" si="205"/>
        <v>66</v>
      </c>
    </row>
    <row r="1446" spans="1:25" ht="12.75" customHeight="1" outlineLevel="2">
      <c r="A1446" s="160">
        <v>2</v>
      </c>
      <c r="B1446" s="159" t="s">
        <v>383</v>
      </c>
      <c r="C1446" s="159"/>
      <c r="D1446" s="159"/>
      <c r="E1446" s="159"/>
      <c r="F1446" s="159"/>
      <c r="G1446" s="159"/>
      <c r="H1446" s="159"/>
      <c r="I1446" s="159"/>
      <c r="J1446" s="159"/>
      <c r="K1446" s="159"/>
      <c r="L1446" s="159"/>
      <c r="M1446" s="159"/>
      <c r="N1446" s="159"/>
      <c r="O1446" s="159"/>
      <c r="P1446" s="159"/>
      <c r="Q1446" s="159"/>
      <c r="R1446" s="159"/>
      <c r="S1446" s="159"/>
      <c r="T1446" s="159"/>
      <c r="U1446" s="159"/>
      <c r="V1446" s="159"/>
      <c r="W1446" s="159"/>
      <c r="X1446" s="159"/>
      <c r="Y1446" s="86">
        <f t="shared" si="205"/>
        <v>0</v>
      </c>
    </row>
    <row r="1447" spans="1:25" ht="12.75" customHeight="1" outlineLevel="2">
      <c r="A1447" s="160"/>
      <c r="B1447" s="39">
        <f>D1447+G1447+J1447</f>
        <v>22</v>
      </c>
      <c r="C1447" s="40">
        <v>110</v>
      </c>
      <c r="D1447" s="39">
        <v>22</v>
      </c>
      <c r="E1447" s="16">
        <v>110</v>
      </c>
      <c r="F1447" s="39" t="s">
        <v>453</v>
      </c>
      <c r="G1447" s="39"/>
      <c r="H1447" s="39"/>
      <c r="I1447" s="39"/>
      <c r="J1447" s="39"/>
      <c r="K1447" s="39"/>
      <c r="L1447" s="39"/>
      <c r="M1447" s="39">
        <v>100</v>
      </c>
      <c r="N1447" s="39">
        <v>700</v>
      </c>
      <c r="O1447" s="16">
        <f>C1447/0.92</f>
        <v>119.56521739130434</v>
      </c>
      <c r="P1447" s="39">
        <v>1</v>
      </c>
      <c r="Q1447" s="39">
        <v>160</v>
      </c>
      <c r="R1447" s="16">
        <v>207</v>
      </c>
      <c r="S1447" s="18">
        <f>R1447*0.4</f>
        <v>82.80000000000001</v>
      </c>
      <c r="T1447" s="18">
        <f>R1447*0.2</f>
        <v>41.400000000000006</v>
      </c>
      <c r="U1447" s="18">
        <f>R1447*0.2</f>
        <v>41.400000000000006</v>
      </c>
      <c r="V1447" s="18">
        <f>R1447*0.2</f>
        <v>41.400000000000006</v>
      </c>
      <c r="W1447" s="18">
        <f>H1447*1.454</f>
        <v>0</v>
      </c>
      <c r="X1447" s="18">
        <f>K1447*1.454</f>
        <v>0</v>
      </c>
      <c r="Y1447" s="86">
        <f t="shared" si="205"/>
        <v>207.00000000000003</v>
      </c>
    </row>
    <row r="1448" spans="1:25" ht="12.75" customHeight="1" outlineLevel="2">
      <c r="A1448" s="160">
        <v>3</v>
      </c>
      <c r="B1448" s="159" t="s">
        <v>384</v>
      </c>
      <c r="C1448" s="159"/>
      <c r="D1448" s="159"/>
      <c r="E1448" s="159"/>
      <c r="F1448" s="159"/>
      <c r="G1448" s="159"/>
      <c r="H1448" s="159"/>
      <c r="I1448" s="159"/>
      <c r="J1448" s="159"/>
      <c r="K1448" s="159"/>
      <c r="L1448" s="159"/>
      <c r="M1448" s="159"/>
      <c r="N1448" s="159"/>
      <c r="O1448" s="159"/>
      <c r="P1448" s="159"/>
      <c r="Q1448" s="159"/>
      <c r="R1448" s="159"/>
      <c r="S1448" s="159"/>
      <c r="T1448" s="159"/>
      <c r="U1448" s="159"/>
      <c r="V1448" s="159"/>
      <c r="W1448" s="159"/>
      <c r="X1448" s="159"/>
      <c r="Y1448" s="86">
        <f t="shared" si="205"/>
        <v>0</v>
      </c>
    </row>
    <row r="1449" spans="1:25" ht="18" outlineLevel="2">
      <c r="A1449" s="160"/>
      <c r="B1449" s="39">
        <f>D1449+G1449+J1449</f>
        <v>14</v>
      </c>
      <c r="C1449" s="40">
        <v>70</v>
      </c>
      <c r="D1449" s="39">
        <v>14</v>
      </c>
      <c r="E1449" s="16">
        <v>70</v>
      </c>
      <c r="F1449" s="39" t="s">
        <v>453</v>
      </c>
      <c r="G1449" s="20"/>
      <c r="H1449" s="20"/>
      <c r="I1449" s="20"/>
      <c r="J1449" s="20"/>
      <c r="K1449" s="20"/>
      <c r="L1449" s="20"/>
      <c r="M1449" s="20"/>
      <c r="N1449" s="39">
        <v>700</v>
      </c>
      <c r="O1449" s="16">
        <f>C1449/0.92</f>
        <v>76.08695652173913</v>
      </c>
      <c r="P1449" s="20"/>
      <c r="Q1449" s="20"/>
      <c r="R1449" s="16">
        <v>77</v>
      </c>
      <c r="S1449" s="18">
        <f>R1449*0.4</f>
        <v>30.8</v>
      </c>
      <c r="T1449" s="18">
        <f>R1449*0.2</f>
        <v>15.4</v>
      </c>
      <c r="U1449" s="18">
        <f>R1449*0.2</f>
        <v>15.4</v>
      </c>
      <c r="V1449" s="18">
        <f>R1449*0.2</f>
        <v>15.4</v>
      </c>
      <c r="W1449" s="18">
        <f>H1449*1.454</f>
        <v>0</v>
      </c>
      <c r="X1449" s="18">
        <f>K1449*1.454</f>
        <v>0</v>
      </c>
      <c r="Y1449" s="86">
        <f t="shared" si="205"/>
        <v>77</v>
      </c>
    </row>
    <row r="1450" spans="1:25" ht="36" customHeight="1" outlineLevel="2">
      <c r="A1450" s="6" t="s">
        <v>431</v>
      </c>
      <c r="B1450" s="20">
        <f>B1445+B1447+B1449</f>
        <v>52</v>
      </c>
      <c r="C1450" s="23">
        <f>C1445+C1447+C1449</f>
        <v>260</v>
      </c>
      <c r="D1450" s="20">
        <f>D1445+D1447+D1449</f>
        <v>52</v>
      </c>
      <c r="E1450" s="23">
        <f>E1445+E1447+E1449</f>
        <v>260</v>
      </c>
      <c r="F1450" s="20" t="s">
        <v>453</v>
      </c>
      <c r="G1450" s="20">
        <f>G1445+G1447+G1449</f>
        <v>0</v>
      </c>
      <c r="H1450" s="20">
        <f>H1445+H1447+H1449</f>
        <v>0</v>
      </c>
      <c r="I1450" s="20" t="s">
        <v>441</v>
      </c>
      <c r="J1450" s="20">
        <f>J1445+J1447+J1449</f>
        <v>0</v>
      </c>
      <c r="K1450" s="20">
        <f>K1445+K1447+K1449</f>
        <v>0</v>
      </c>
      <c r="L1450" s="20" t="s">
        <v>441</v>
      </c>
      <c r="M1450" s="20">
        <f aca="true" t="shared" si="213" ref="M1450:X1450">M1445+M1447+M1449</f>
        <v>100</v>
      </c>
      <c r="N1450" s="20">
        <f t="shared" si="213"/>
        <v>2000</v>
      </c>
      <c r="O1450" s="23">
        <f t="shared" si="213"/>
        <v>282.6086956521739</v>
      </c>
      <c r="P1450" s="20">
        <f t="shared" si="213"/>
        <v>1</v>
      </c>
      <c r="Q1450" s="20">
        <f t="shared" si="213"/>
        <v>160</v>
      </c>
      <c r="R1450" s="23">
        <f t="shared" si="213"/>
        <v>350</v>
      </c>
      <c r="S1450" s="23">
        <f t="shared" si="213"/>
        <v>140.00000000000003</v>
      </c>
      <c r="T1450" s="23">
        <f t="shared" si="213"/>
        <v>70.00000000000001</v>
      </c>
      <c r="U1450" s="23">
        <f t="shared" si="213"/>
        <v>70.00000000000001</v>
      </c>
      <c r="V1450" s="23">
        <f t="shared" si="213"/>
        <v>70.00000000000001</v>
      </c>
      <c r="W1450" s="23">
        <f t="shared" si="213"/>
        <v>0</v>
      </c>
      <c r="X1450" s="23">
        <f t="shared" si="213"/>
        <v>0</v>
      </c>
      <c r="Y1450" s="86">
        <f t="shared" si="205"/>
        <v>350.00000000000006</v>
      </c>
    </row>
    <row r="1451" spans="1:25" ht="18.75" outlineLevel="2">
      <c r="A1451" s="160">
        <v>1</v>
      </c>
      <c r="B1451" s="157" t="s">
        <v>385</v>
      </c>
      <c r="C1451" s="157"/>
      <c r="D1451" s="157"/>
      <c r="E1451" s="157"/>
      <c r="F1451" s="157"/>
      <c r="G1451" s="157"/>
      <c r="H1451" s="157"/>
      <c r="I1451" s="157"/>
      <c r="J1451" s="157"/>
      <c r="K1451" s="157"/>
      <c r="L1451" s="157"/>
      <c r="M1451" s="157"/>
      <c r="N1451" s="157"/>
      <c r="O1451" s="157"/>
      <c r="P1451" s="157"/>
      <c r="Q1451" s="157"/>
      <c r="R1451" s="157"/>
      <c r="S1451" s="157"/>
      <c r="T1451" s="157"/>
      <c r="U1451" s="157"/>
      <c r="V1451" s="157"/>
      <c r="W1451" s="157"/>
      <c r="X1451" s="157"/>
      <c r="Y1451" s="86">
        <f t="shared" si="205"/>
        <v>0</v>
      </c>
    </row>
    <row r="1452" spans="1:25" ht="12.75" customHeight="1" outlineLevel="2">
      <c r="A1452" s="160"/>
      <c r="B1452" s="39">
        <f>D1452+G1452+J1452</f>
        <v>30</v>
      </c>
      <c r="C1452" s="40">
        <v>150</v>
      </c>
      <c r="D1452" s="39">
        <v>30</v>
      </c>
      <c r="E1452" s="16">
        <v>150</v>
      </c>
      <c r="F1452" s="39" t="s">
        <v>433</v>
      </c>
      <c r="G1452" s="39"/>
      <c r="H1452" s="39"/>
      <c r="I1452" s="39"/>
      <c r="J1452" s="39"/>
      <c r="K1452" s="39"/>
      <c r="L1452" s="39"/>
      <c r="M1452" s="39"/>
      <c r="N1452" s="39">
        <v>500</v>
      </c>
      <c r="O1452" s="16">
        <v>100</v>
      </c>
      <c r="P1452" s="39">
        <v>1</v>
      </c>
      <c r="Q1452" s="39">
        <v>100</v>
      </c>
      <c r="R1452" s="16">
        <v>175</v>
      </c>
      <c r="S1452" s="18">
        <f>R1452*0.4</f>
        <v>70</v>
      </c>
      <c r="T1452" s="18">
        <f>R1452*0.2</f>
        <v>35</v>
      </c>
      <c r="U1452" s="18">
        <f>R1452*0.2</f>
        <v>35</v>
      </c>
      <c r="V1452" s="18">
        <f>R1452*0.2</f>
        <v>35</v>
      </c>
      <c r="W1452" s="18">
        <f>H1452*1.454</f>
        <v>0</v>
      </c>
      <c r="X1452" s="18">
        <f>K1452*1.454</f>
        <v>0</v>
      </c>
      <c r="Y1452" s="86">
        <f t="shared" si="205"/>
        <v>175</v>
      </c>
    </row>
    <row r="1453" spans="1:25" ht="12.75" customHeight="1" outlineLevel="2">
      <c r="A1453" s="160">
        <v>2</v>
      </c>
      <c r="B1453" s="156" t="s">
        <v>386</v>
      </c>
      <c r="C1453" s="156"/>
      <c r="D1453" s="156"/>
      <c r="E1453" s="156"/>
      <c r="F1453" s="156"/>
      <c r="G1453" s="156"/>
      <c r="H1453" s="156"/>
      <c r="I1453" s="156"/>
      <c r="J1453" s="156"/>
      <c r="K1453" s="156"/>
      <c r="L1453" s="156"/>
      <c r="M1453" s="156"/>
      <c r="N1453" s="156"/>
      <c r="O1453" s="156"/>
      <c r="P1453" s="156"/>
      <c r="Q1453" s="156"/>
      <c r="R1453" s="156"/>
      <c r="S1453" s="156"/>
      <c r="T1453" s="156"/>
      <c r="U1453" s="156"/>
      <c r="V1453" s="156"/>
      <c r="W1453" s="156"/>
      <c r="X1453" s="156"/>
      <c r="Y1453" s="86">
        <f t="shared" si="205"/>
        <v>0</v>
      </c>
    </row>
    <row r="1454" spans="1:25" ht="12.75" customHeight="1" outlineLevel="2">
      <c r="A1454" s="160"/>
      <c r="B1454" s="40">
        <f>D1454+G1454+J1454</f>
        <v>30</v>
      </c>
      <c r="C1454" s="40">
        <f>E1454+H1454+K1454</f>
        <v>150</v>
      </c>
      <c r="D1454" s="43">
        <v>30</v>
      </c>
      <c r="E1454" s="16">
        <v>150</v>
      </c>
      <c r="F1454" s="40" t="s">
        <v>433</v>
      </c>
      <c r="G1454" s="40"/>
      <c r="H1454" s="40"/>
      <c r="I1454" s="40"/>
      <c r="J1454" s="40"/>
      <c r="K1454" s="40"/>
      <c r="L1454" s="40"/>
      <c r="M1454" s="40"/>
      <c r="N1454" s="40">
        <v>500</v>
      </c>
      <c r="O1454" s="16"/>
      <c r="P1454" s="40"/>
      <c r="Q1454" s="40"/>
      <c r="R1454" s="16">
        <v>55</v>
      </c>
      <c r="S1454" s="18">
        <f>R1454*0.4</f>
        <v>22</v>
      </c>
      <c r="T1454" s="18">
        <f>R1454*0.2</f>
        <v>11</v>
      </c>
      <c r="U1454" s="18">
        <f>R1454*0.2</f>
        <v>11</v>
      </c>
      <c r="V1454" s="18">
        <f>R1454*0.2</f>
        <v>11</v>
      </c>
      <c r="W1454" s="18">
        <f>H1454*1.454</f>
        <v>0</v>
      </c>
      <c r="X1454" s="18">
        <f>K1454*1.454</f>
        <v>0</v>
      </c>
      <c r="Y1454" s="86">
        <f t="shared" si="205"/>
        <v>55</v>
      </c>
    </row>
    <row r="1455" spans="1:25" ht="36" outlineLevel="2">
      <c r="A1455" s="6" t="s">
        <v>431</v>
      </c>
      <c r="B1455" s="20">
        <f>B1452+B1454</f>
        <v>60</v>
      </c>
      <c r="C1455" s="23">
        <f>C1452+C1454</f>
        <v>300</v>
      </c>
      <c r="D1455" s="20">
        <f>D1452+D1454</f>
        <v>60</v>
      </c>
      <c r="E1455" s="23">
        <f>E1452+E1454</f>
        <v>300</v>
      </c>
      <c r="F1455" s="20" t="s">
        <v>433</v>
      </c>
      <c r="G1455" s="20">
        <f>G1452+G1454</f>
        <v>0</v>
      </c>
      <c r="H1455" s="20">
        <f>H1452+H1454</f>
        <v>0</v>
      </c>
      <c r="I1455" s="20" t="s">
        <v>441</v>
      </c>
      <c r="J1455" s="20">
        <f>J1452+J1454</f>
        <v>0</v>
      </c>
      <c r="K1455" s="20">
        <f>K1452+K1454</f>
        <v>0</v>
      </c>
      <c r="L1455" s="20" t="s">
        <v>441</v>
      </c>
      <c r="M1455" s="20">
        <f aca="true" t="shared" si="214" ref="M1455:R1455">M1452+M1454</f>
        <v>0</v>
      </c>
      <c r="N1455" s="20">
        <f t="shared" si="214"/>
        <v>1000</v>
      </c>
      <c r="O1455" s="23">
        <f t="shared" si="214"/>
        <v>100</v>
      </c>
      <c r="P1455" s="20">
        <f t="shared" si="214"/>
        <v>1</v>
      </c>
      <c r="Q1455" s="20">
        <f t="shared" si="214"/>
        <v>100</v>
      </c>
      <c r="R1455" s="23">
        <f t="shared" si="214"/>
        <v>230</v>
      </c>
      <c r="S1455" s="23">
        <f aca="true" t="shared" si="215" ref="S1455:X1455">S1452+S1454</f>
        <v>92</v>
      </c>
      <c r="T1455" s="23">
        <f t="shared" si="215"/>
        <v>46</v>
      </c>
      <c r="U1455" s="23">
        <f t="shared" si="215"/>
        <v>46</v>
      </c>
      <c r="V1455" s="23">
        <f t="shared" si="215"/>
        <v>46</v>
      </c>
      <c r="W1455" s="23">
        <f t="shared" si="215"/>
        <v>0</v>
      </c>
      <c r="X1455" s="23">
        <f t="shared" si="215"/>
        <v>0</v>
      </c>
      <c r="Y1455" s="86">
        <f t="shared" si="205"/>
        <v>230</v>
      </c>
    </row>
    <row r="1456" spans="1:25" ht="12.75" customHeight="1" outlineLevel="2">
      <c r="A1456" s="160">
        <v>1</v>
      </c>
      <c r="B1456" s="159" t="s">
        <v>387</v>
      </c>
      <c r="C1456" s="159"/>
      <c r="D1456" s="159"/>
      <c r="E1456" s="159"/>
      <c r="F1456" s="159"/>
      <c r="G1456" s="159"/>
      <c r="H1456" s="159"/>
      <c r="I1456" s="159"/>
      <c r="J1456" s="159"/>
      <c r="K1456" s="159"/>
      <c r="L1456" s="159"/>
      <c r="M1456" s="159"/>
      <c r="N1456" s="159"/>
      <c r="O1456" s="159"/>
      <c r="P1456" s="159"/>
      <c r="Q1456" s="159"/>
      <c r="R1456" s="159"/>
      <c r="S1456" s="159"/>
      <c r="T1456" s="159"/>
      <c r="U1456" s="159"/>
      <c r="V1456" s="159"/>
      <c r="W1456" s="159"/>
      <c r="X1456" s="159"/>
      <c r="Y1456" s="86">
        <f aca="true" t="shared" si="216" ref="Y1456:Y1517">S1456+T1456+U1456+V1456+X1456</f>
        <v>0</v>
      </c>
    </row>
    <row r="1457" spans="1:25" ht="12.75" customHeight="1" outlineLevel="2">
      <c r="A1457" s="160"/>
      <c r="B1457" s="39">
        <f>D1457+G1457+J1457</f>
        <v>62</v>
      </c>
      <c r="C1457" s="40">
        <v>310</v>
      </c>
      <c r="D1457" s="39">
        <v>62</v>
      </c>
      <c r="E1457" s="16">
        <v>310</v>
      </c>
      <c r="F1457" s="39" t="s">
        <v>433</v>
      </c>
      <c r="G1457" s="39"/>
      <c r="H1457" s="39"/>
      <c r="I1457" s="39"/>
      <c r="J1457" s="39"/>
      <c r="K1457" s="39"/>
      <c r="L1457" s="39"/>
      <c r="M1457" s="39"/>
      <c r="N1457" s="39">
        <v>1000</v>
      </c>
      <c r="O1457" s="16">
        <f>C1457/0.92</f>
        <v>336.95652173913044</v>
      </c>
      <c r="P1457" s="39"/>
      <c r="Q1457" s="39"/>
      <c r="R1457" s="16">
        <v>110</v>
      </c>
      <c r="S1457" s="18">
        <f>R1457*0.4</f>
        <v>44</v>
      </c>
      <c r="T1457" s="18">
        <f>R1457*0.2</f>
        <v>22</v>
      </c>
      <c r="U1457" s="18">
        <f>R1457*0.2</f>
        <v>22</v>
      </c>
      <c r="V1457" s="18">
        <f>R1457*0.2</f>
        <v>22</v>
      </c>
      <c r="W1457" s="18">
        <f>H1457*1.454</f>
        <v>0</v>
      </c>
      <c r="X1457" s="18">
        <f>K1457*1.454</f>
        <v>0</v>
      </c>
      <c r="Y1457" s="86">
        <f t="shared" si="216"/>
        <v>110</v>
      </c>
    </row>
    <row r="1458" spans="1:25" ht="12.75" customHeight="1" outlineLevel="2">
      <c r="A1458" s="160">
        <v>1</v>
      </c>
      <c r="B1458" s="159" t="s">
        <v>388</v>
      </c>
      <c r="C1458" s="159"/>
      <c r="D1458" s="159"/>
      <c r="E1458" s="159"/>
      <c r="F1458" s="159"/>
      <c r="G1458" s="159"/>
      <c r="H1458" s="159"/>
      <c r="I1458" s="159"/>
      <c r="J1458" s="159"/>
      <c r="K1458" s="159"/>
      <c r="L1458" s="159"/>
      <c r="M1458" s="159"/>
      <c r="N1458" s="159"/>
      <c r="O1458" s="159"/>
      <c r="P1458" s="159"/>
      <c r="Q1458" s="159"/>
      <c r="R1458" s="159"/>
      <c r="S1458" s="159"/>
      <c r="T1458" s="159"/>
      <c r="U1458" s="159"/>
      <c r="V1458" s="159"/>
      <c r="W1458" s="159"/>
      <c r="X1458" s="159"/>
      <c r="Y1458" s="86">
        <f t="shared" si="216"/>
        <v>0</v>
      </c>
    </row>
    <row r="1459" spans="1:25" ht="18" outlineLevel="2">
      <c r="A1459" s="160"/>
      <c r="B1459" s="39">
        <f>D1459+G1459+J1459</f>
        <v>20</v>
      </c>
      <c r="C1459" s="39">
        <f>E1459+H1459+K1459</f>
        <v>100</v>
      </c>
      <c r="D1459" s="39">
        <v>20</v>
      </c>
      <c r="E1459" s="16">
        <v>100</v>
      </c>
      <c r="F1459" s="39" t="s">
        <v>433</v>
      </c>
      <c r="G1459" s="39"/>
      <c r="H1459" s="39"/>
      <c r="I1459" s="39"/>
      <c r="J1459" s="39"/>
      <c r="K1459" s="39"/>
      <c r="L1459" s="39"/>
      <c r="M1459" s="39">
        <v>900</v>
      </c>
      <c r="N1459" s="39">
        <v>200</v>
      </c>
      <c r="O1459" s="16">
        <v>100</v>
      </c>
      <c r="P1459" s="39">
        <v>1</v>
      </c>
      <c r="Q1459" s="39">
        <v>100</v>
      </c>
      <c r="R1459" s="16">
        <v>230</v>
      </c>
      <c r="S1459" s="18">
        <f>R1459*0.4</f>
        <v>92</v>
      </c>
      <c r="T1459" s="18">
        <f>R1459*0.2</f>
        <v>46</v>
      </c>
      <c r="U1459" s="18">
        <f>R1459*0.2</f>
        <v>46</v>
      </c>
      <c r="V1459" s="18">
        <f>R1459*0.2</f>
        <v>46</v>
      </c>
      <c r="W1459" s="18">
        <f>H1459*1.454</f>
        <v>0</v>
      </c>
      <c r="X1459" s="18">
        <f>K1459*1.454</f>
        <v>0</v>
      </c>
      <c r="Y1459" s="86">
        <f t="shared" si="216"/>
        <v>230</v>
      </c>
    </row>
    <row r="1460" spans="1:25" ht="12.75" customHeight="1" outlineLevel="2">
      <c r="A1460" s="160">
        <v>1</v>
      </c>
      <c r="B1460" s="159" t="s">
        <v>389</v>
      </c>
      <c r="C1460" s="159"/>
      <c r="D1460" s="159"/>
      <c r="E1460" s="159"/>
      <c r="F1460" s="159"/>
      <c r="G1460" s="159"/>
      <c r="H1460" s="159"/>
      <c r="I1460" s="159"/>
      <c r="J1460" s="159"/>
      <c r="K1460" s="159"/>
      <c r="L1460" s="159"/>
      <c r="M1460" s="159"/>
      <c r="N1460" s="159"/>
      <c r="O1460" s="159"/>
      <c r="P1460" s="159"/>
      <c r="Q1460" s="159"/>
      <c r="R1460" s="159"/>
      <c r="S1460" s="159"/>
      <c r="T1460" s="159"/>
      <c r="U1460" s="159"/>
      <c r="V1460" s="159"/>
      <c r="W1460" s="159"/>
      <c r="X1460" s="159"/>
      <c r="Y1460" s="86">
        <f t="shared" si="216"/>
        <v>0</v>
      </c>
    </row>
    <row r="1461" spans="1:25" ht="18" outlineLevel="2">
      <c r="A1461" s="160"/>
      <c r="B1461" s="39">
        <f>D1461+G1461+J1461</f>
        <v>50</v>
      </c>
      <c r="C1461" s="40">
        <f>E1461+H1461+K1461</f>
        <v>150</v>
      </c>
      <c r="D1461" s="39">
        <f>50</f>
        <v>50</v>
      </c>
      <c r="E1461" s="16">
        <v>150</v>
      </c>
      <c r="F1461" s="39" t="s">
        <v>433</v>
      </c>
      <c r="G1461" s="39"/>
      <c r="H1461" s="39"/>
      <c r="I1461" s="39"/>
      <c r="J1461" s="39"/>
      <c r="K1461" s="39"/>
      <c r="L1461" s="39"/>
      <c r="M1461" s="39">
        <v>400</v>
      </c>
      <c r="N1461" s="39">
        <v>500</v>
      </c>
      <c r="O1461" s="16">
        <v>60</v>
      </c>
      <c r="P1461" s="39">
        <v>1</v>
      </c>
      <c r="Q1461" s="39">
        <v>60</v>
      </c>
      <c r="R1461" s="16">
        <v>210</v>
      </c>
      <c r="S1461" s="18">
        <f>R1461*0.4</f>
        <v>84</v>
      </c>
      <c r="T1461" s="18">
        <f>R1461*0.2</f>
        <v>42</v>
      </c>
      <c r="U1461" s="18">
        <f>R1461*0.2</f>
        <v>42</v>
      </c>
      <c r="V1461" s="18">
        <f>R1461*0.2</f>
        <v>42</v>
      </c>
      <c r="W1461" s="18">
        <f>H1461*1.454</f>
        <v>0</v>
      </c>
      <c r="X1461" s="18">
        <f>K1461*1.454</f>
        <v>0</v>
      </c>
      <c r="Y1461" s="86">
        <f t="shared" si="216"/>
        <v>210</v>
      </c>
    </row>
    <row r="1462" spans="1:25" ht="12.75" customHeight="1" outlineLevel="2">
      <c r="A1462" s="160">
        <f>2</f>
        <v>2</v>
      </c>
      <c r="B1462" s="159" t="s">
        <v>390</v>
      </c>
      <c r="C1462" s="159"/>
      <c r="D1462" s="159"/>
      <c r="E1462" s="159"/>
      <c r="F1462" s="159"/>
      <c r="G1462" s="159"/>
      <c r="H1462" s="159"/>
      <c r="I1462" s="159"/>
      <c r="J1462" s="159"/>
      <c r="K1462" s="159"/>
      <c r="L1462" s="159"/>
      <c r="M1462" s="159"/>
      <c r="N1462" s="159"/>
      <c r="O1462" s="159"/>
      <c r="P1462" s="159"/>
      <c r="Q1462" s="159"/>
      <c r="R1462" s="159"/>
      <c r="S1462" s="159"/>
      <c r="T1462" s="159"/>
      <c r="U1462" s="159"/>
      <c r="V1462" s="159"/>
      <c r="W1462" s="159"/>
      <c r="X1462" s="159"/>
      <c r="Y1462" s="86">
        <f t="shared" si="216"/>
        <v>0</v>
      </c>
    </row>
    <row r="1463" spans="1:25" ht="12.75" customHeight="1" outlineLevel="2">
      <c r="A1463" s="160"/>
      <c r="B1463" s="39">
        <f>D1463+G1463+J1463</f>
        <v>6</v>
      </c>
      <c r="C1463" s="40">
        <v>30</v>
      </c>
      <c r="D1463" s="39">
        <v>6</v>
      </c>
      <c r="E1463" s="16">
        <v>30</v>
      </c>
      <c r="F1463" s="39" t="s">
        <v>433</v>
      </c>
      <c r="G1463" s="39"/>
      <c r="H1463" s="39"/>
      <c r="I1463" s="39"/>
      <c r="J1463" s="39"/>
      <c r="K1463" s="39"/>
      <c r="L1463" s="39"/>
      <c r="M1463" s="39">
        <v>60</v>
      </c>
      <c r="N1463" s="39">
        <v>60</v>
      </c>
      <c r="O1463" s="16">
        <v>25</v>
      </c>
      <c r="P1463" s="39">
        <v>1</v>
      </c>
      <c r="Q1463" s="39">
        <v>25</v>
      </c>
      <c r="R1463" s="16">
        <v>114</v>
      </c>
      <c r="S1463" s="18">
        <f>R1463*0.4</f>
        <v>45.6</v>
      </c>
      <c r="T1463" s="18">
        <f>R1463*0.2</f>
        <v>22.8</v>
      </c>
      <c r="U1463" s="18">
        <f>R1463*0.2</f>
        <v>22.8</v>
      </c>
      <c r="V1463" s="18">
        <f>R1463*0.2</f>
        <v>22.8</v>
      </c>
      <c r="W1463" s="18">
        <f>H1463*1.454</f>
        <v>0</v>
      </c>
      <c r="X1463" s="18">
        <f>K1463*1.454</f>
        <v>0</v>
      </c>
      <c r="Y1463" s="86">
        <f t="shared" si="216"/>
        <v>114</v>
      </c>
    </row>
    <row r="1464" spans="1:25" ht="36" outlineLevel="2">
      <c r="A1464" s="6" t="s">
        <v>431</v>
      </c>
      <c r="B1464" s="20">
        <f>B1461+B1463</f>
        <v>56</v>
      </c>
      <c r="C1464" s="23">
        <f>C1461+C1463</f>
        <v>180</v>
      </c>
      <c r="D1464" s="20">
        <f>D1461+D1463</f>
        <v>56</v>
      </c>
      <c r="E1464" s="23">
        <f>E1461+E1463</f>
        <v>180</v>
      </c>
      <c r="F1464" s="20" t="s">
        <v>433</v>
      </c>
      <c r="G1464" s="20">
        <f>G1461+G1463</f>
        <v>0</v>
      </c>
      <c r="H1464" s="20">
        <f>H1461+H1463</f>
        <v>0</v>
      </c>
      <c r="I1464" s="20" t="s">
        <v>441</v>
      </c>
      <c r="J1464" s="20">
        <f>J1461+J1463</f>
        <v>0</v>
      </c>
      <c r="K1464" s="20">
        <f>K1461+K1463</f>
        <v>0</v>
      </c>
      <c r="L1464" s="20" t="s">
        <v>441</v>
      </c>
      <c r="M1464" s="20">
        <f aca="true" t="shared" si="217" ref="M1464:X1464">M1461+M1463</f>
        <v>460</v>
      </c>
      <c r="N1464" s="20">
        <f t="shared" si="217"/>
        <v>560</v>
      </c>
      <c r="O1464" s="23">
        <f t="shared" si="217"/>
        <v>85</v>
      </c>
      <c r="P1464" s="20">
        <f t="shared" si="217"/>
        <v>2</v>
      </c>
      <c r="Q1464" s="20">
        <f t="shared" si="217"/>
        <v>85</v>
      </c>
      <c r="R1464" s="23">
        <f t="shared" si="217"/>
        <v>324</v>
      </c>
      <c r="S1464" s="23">
        <f t="shared" si="217"/>
        <v>129.6</v>
      </c>
      <c r="T1464" s="23">
        <f t="shared" si="217"/>
        <v>64.8</v>
      </c>
      <c r="U1464" s="23">
        <f t="shared" si="217"/>
        <v>64.8</v>
      </c>
      <c r="V1464" s="23">
        <f t="shared" si="217"/>
        <v>64.8</v>
      </c>
      <c r="W1464" s="23">
        <f t="shared" si="217"/>
        <v>0</v>
      </c>
      <c r="X1464" s="23">
        <f t="shared" si="217"/>
        <v>0</v>
      </c>
      <c r="Y1464" s="86">
        <f t="shared" si="216"/>
        <v>324</v>
      </c>
    </row>
    <row r="1465" spans="1:25" ht="12.75" customHeight="1" outlineLevel="2">
      <c r="A1465" s="160">
        <v>1</v>
      </c>
      <c r="B1465" s="159" t="s">
        <v>391</v>
      </c>
      <c r="C1465" s="159"/>
      <c r="D1465" s="159"/>
      <c r="E1465" s="159"/>
      <c r="F1465" s="159"/>
      <c r="G1465" s="159"/>
      <c r="H1465" s="159"/>
      <c r="I1465" s="159"/>
      <c r="J1465" s="159"/>
      <c r="K1465" s="159"/>
      <c r="L1465" s="159"/>
      <c r="M1465" s="159"/>
      <c r="N1465" s="159"/>
      <c r="O1465" s="159"/>
      <c r="P1465" s="159"/>
      <c r="Q1465" s="159"/>
      <c r="R1465" s="159"/>
      <c r="S1465" s="159"/>
      <c r="T1465" s="159"/>
      <c r="U1465" s="159"/>
      <c r="V1465" s="159"/>
      <c r="W1465" s="159"/>
      <c r="X1465" s="159"/>
      <c r="Y1465" s="86">
        <f t="shared" si="216"/>
        <v>0</v>
      </c>
    </row>
    <row r="1466" spans="1:25" ht="18" outlineLevel="2">
      <c r="A1466" s="160"/>
      <c r="B1466" s="39">
        <f>D1466+G1466+J1466</f>
        <v>32</v>
      </c>
      <c r="C1466" s="40">
        <v>160</v>
      </c>
      <c r="D1466" s="39">
        <v>32</v>
      </c>
      <c r="E1466" s="16">
        <v>160</v>
      </c>
      <c r="F1466" s="39" t="s">
        <v>453</v>
      </c>
      <c r="G1466" s="39"/>
      <c r="H1466" s="39"/>
      <c r="I1466" s="39"/>
      <c r="J1466" s="39"/>
      <c r="K1466" s="39"/>
      <c r="L1466" s="39"/>
      <c r="M1466" s="39">
        <v>65</v>
      </c>
      <c r="N1466" s="39">
        <v>800</v>
      </c>
      <c r="O1466" s="16">
        <v>160</v>
      </c>
      <c r="P1466" s="39">
        <v>1</v>
      </c>
      <c r="Q1466" s="39">
        <v>160</v>
      </c>
      <c r="R1466" s="16">
        <v>214</v>
      </c>
      <c r="S1466" s="18">
        <f>R1466*0.4</f>
        <v>85.60000000000001</v>
      </c>
      <c r="T1466" s="18">
        <f>R1466*0.2</f>
        <v>42.800000000000004</v>
      </c>
      <c r="U1466" s="18">
        <f>R1466*0.2</f>
        <v>42.800000000000004</v>
      </c>
      <c r="V1466" s="18">
        <f>R1466*0.2</f>
        <v>42.800000000000004</v>
      </c>
      <c r="W1466" s="18">
        <f>H1466*1.454</f>
        <v>0</v>
      </c>
      <c r="X1466" s="18">
        <f>K1466*1.454</f>
        <v>0</v>
      </c>
      <c r="Y1466" s="86">
        <f t="shared" si="216"/>
        <v>214.00000000000003</v>
      </c>
    </row>
    <row r="1467" spans="1:25" ht="12.75" customHeight="1" outlineLevel="2">
      <c r="A1467" s="160">
        <v>1</v>
      </c>
      <c r="B1467" s="159" t="s">
        <v>392</v>
      </c>
      <c r="C1467" s="159"/>
      <c r="D1467" s="159"/>
      <c r="E1467" s="159"/>
      <c r="F1467" s="159"/>
      <c r="G1467" s="159"/>
      <c r="H1467" s="159"/>
      <c r="I1467" s="159"/>
      <c r="J1467" s="159"/>
      <c r="K1467" s="159"/>
      <c r="L1467" s="159"/>
      <c r="M1467" s="159"/>
      <c r="N1467" s="159"/>
      <c r="O1467" s="159"/>
      <c r="P1467" s="159"/>
      <c r="Q1467" s="159"/>
      <c r="R1467" s="159"/>
      <c r="S1467" s="159"/>
      <c r="T1467" s="159"/>
      <c r="U1467" s="159"/>
      <c r="V1467" s="159"/>
      <c r="W1467" s="159"/>
      <c r="X1467" s="159"/>
      <c r="Y1467" s="86">
        <f t="shared" si="216"/>
        <v>0</v>
      </c>
    </row>
    <row r="1468" spans="1:25" ht="18" outlineLevel="2">
      <c r="A1468" s="160"/>
      <c r="B1468" s="39">
        <f>D1468+G1468+J1468</f>
        <v>11</v>
      </c>
      <c r="C1468" s="40">
        <f>E1468+H1468+K1468</f>
        <v>55</v>
      </c>
      <c r="D1468" s="39">
        <v>11</v>
      </c>
      <c r="E1468" s="16">
        <v>55</v>
      </c>
      <c r="F1468" s="39" t="s">
        <v>453</v>
      </c>
      <c r="G1468" s="39"/>
      <c r="H1468" s="39"/>
      <c r="I1468" s="39"/>
      <c r="J1468" s="39"/>
      <c r="K1468" s="39"/>
      <c r="L1468" s="39"/>
      <c r="M1468" s="39">
        <v>30</v>
      </c>
      <c r="N1468" s="39">
        <v>400</v>
      </c>
      <c r="O1468" s="16">
        <v>100</v>
      </c>
      <c r="P1468" s="39">
        <v>1</v>
      </c>
      <c r="Q1468" s="39">
        <v>100</v>
      </c>
      <c r="R1468" s="16">
        <v>167</v>
      </c>
      <c r="S1468" s="18">
        <f>R1468*0.4</f>
        <v>66.8</v>
      </c>
      <c r="T1468" s="18">
        <f>R1468*0.2</f>
        <v>33.4</v>
      </c>
      <c r="U1468" s="18">
        <f>R1468*0.2</f>
        <v>33.4</v>
      </c>
      <c r="V1468" s="18">
        <f>R1468*0.2</f>
        <v>33.4</v>
      </c>
      <c r="W1468" s="18">
        <f>H1468*1.454</f>
        <v>0</v>
      </c>
      <c r="X1468" s="18">
        <f>K1468*1.454</f>
        <v>0</v>
      </c>
      <c r="Y1468" s="86">
        <f t="shared" si="216"/>
        <v>167</v>
      </c>
    </row>
    <row r="1469" spans="1:25" ht="12.75" customHeight="1" outlineLevel="2">
      <c r="A1469" s="160">
        <v>1</v>
      </c>
      <c r="B1469" s="159" t="s">
        <v>83</v>
      </c>
      <c r="C1469" s="159"/>
      <c r="D1469" s="159"/>
      <c r="E1469" s="159"/>
      <c r="F1469" s="159"/>
      <c r="G1469" s="159"/>
      <c r="H1469" s="159"/>
      <c r="I1469" s="159"/>
      <c r="J1469" s="159"/>
      <c r="K1469" s="159"/>
      <c r="L1469" s="159"/>
      <c r="M1469" s="159"/>
      <c r="N1469" s="159"/>
      <c r="O1469" s="159"/>
      <c r="P1469" s="159"/>
      <c r="Q1469" s="159"/>
      <c r="R1469" s="159"/>
      <c r="S1469" s="159"/>
      <c r="T1469" s="159"/>
      <c r="U1469" s="159"/>
      <c r="V1469" s="159"/>
      <c r="W1469" s="159"/>
      <c r="X1469" s="159"/>
      <c r="Y1469" s="86">
        <f t="shared" si="216"/>
        <v>0</v>
      </c>
    </row>
    <row r="1470" spans="1:25" ht="18" outlineLevel="2">
      <c r="A1470" s="160"/>
      <c r="B1470" s="39">
        <f>D1470+G1470+J1470</f>
        <v>19</v>
      </c>
      <c r="C1470" s="40">
        <v>95</v>
      </c>
      <c r="D1470" s="39">
        <v>19</v>
      </c>
      <c r="E1470" s="16">
        <v>95</v>
      </c>
      <c r="F1470" s="39" t="s">
        <v>453</v>
      </c>
      <c r="G1470" s="39"/>
      <c r="H1470" s="39"/>
      <c r="I1470" s="39"/>
      <c r="J1470" s="39"/>
      <c r="K1470" s="39"/>
      <c r="L1470" s="39"/>
      <c r="M1470" s="39">
        <v>100</v>
      </c>
      <c r="N1470" s="39">
        <v>1100</v>
      </c>
      <c r="O1470" s="16">
        <v>100</v>
      </c>
      <c r="P1470" s="39">
        <v>1</v>
      </c>
      <c r="Q1470" s="39">
        <v>100</v>
      </c>
      <c r="R1470" s="16">
        <v>250</v>
      </c>
      <c r="S1470" s="18">
        <f>R1470*0.4</f>
        <v>100</v>
      </c>
      <c r="T1470" s="18">
        <f>R1470*0.2</f>
        <v>50</v>
      </c>
      <c r="U1470" s="18">
        <f>R1470*0.2</f>
        <v>50</v>
      </c>
      <c r="V1470" s="18">
        <f>R1470*0.2</f>
        <v>50</v>
      </c>
      <c r="W1470" s="18">
        <f>H1470*1.454</f>
        <v>0</v>
      </c>
      <c r="X1470" s="18">
        <f>K1470*1.454</f>
        <v>0</v>
      </c>
      <c r="Y1470" s="86">
        <f t="shared" si="216"/>
        <v>250</v>
      </c>
    </row>
    <row r="1471" spans="1:25" ht="12.75" customHeight="1" outlineLevel="2">
      <c r="A1471" s="160">
        <v>2</v>
      </c>
      <c r="B1471" s="159" t="s">
        <v>84</v>
      </c>
      <c r="C1471" s="159"/>
      <c r="D1471" s="159"/>
      <c r="E1471" s="159"/>
      <c r="F1471" s="159"/>
      <c r="G1471" s="159"/>
      <c r="H1471" s="159"/>
      <c r="I1471" s="159"/>
      <c r="J1471" s="159"/>
      <c r="K1471" s="159"/>
      <c r="L1471" s="159"/>
      <c r="M1471" s="159"/>
      <c r="N1471" s="159"/>
      <c r="O1471" s="159"/>
      <c r="P1471" s="159"/>
      <c r="Q1471" s="159"/>
      <c r="R1471" s="159"/>
      <c r="S1471" s="159"/>
      <c r="T1471" s="159"/>
      <c r="U1471" s="159"/>
      <c r="V1471" s="159"/>
      <c r="W1471" s="159"/>
      <c r="X1471" s="159"/>
      <c r="Y1471" s="86">
        <f t="shared" si="216"/>
        <v>0</v>
      </c>
    </row>
    <row r="1472" spans="1:25" ht="18" outlineLevel="2">
      <c r="A1472" s="160"/>
      <c r="B1472" s="39">
        <f>D1472+G1472+J1472</f>
        <v>22</v>
      </c>
      <c r="C1472" s="40">
        <f>E1472+H1472+K1472</f>
        <v>110</v>
      </c>
      <c r="D1472" s="39">
        <v>22</v>
      </c>
      <c r="E1472" s="16">
        <v>110</v>
      </c>
      <c r="F1472" s="39" t="s">
        <v>453</v>
      </c>
      <c r="G1472" s="39"/>
      <c r="H1472" s="39"/>
      <c r="I1472" s="39"/>
      <c r="J1472" s="39"/>
      <c r="K1472" s="39"/>
      <c r="L1472" s="39"/>
      <c r="M1472" s="39">
        <v>100</v>
      </c>
      <c r="N1472" s="39">
        <v>1100</v>
      </c>
      <c r="O1472" s="16">
        <v>100</v>
      </c>
      <c r="P1472" s="39">
        <v>1</v>
      </c>
      <c r="Q1472" s="39">
        <v>100</v>
      </c>
      <c r="R1472" s="16">
        <v>250</v>
      </c>
      <c r="S1472" s="18">
        <f>R1472*0.4</f>
        <v>100</v>
      </c>
      <c r="T1472" s="18">
        <f>R1472*0.2</f>
        <v>50</v>
      </c>
      <c r="U1472" s="18">
        <f>R1472*0.2</f>
        <v>50</v>
      </c>
      <c r="V1472" s="18">
        <f>R1472*0.2</f>
        <v>50</v>
      </c>
      <c r="W1472" s="18">
        <f>H1472*1.454</f>
        <v>0</v>
      </c>
      <c r="X1472" s="18">
        <f>K1472*1.454</f>
        <v>0</v>
      </c>
      <c r="Y1472" s="86">
        <f t="shared" si="216"/>
        <v>250</v>
      </c>
    </row>
    <row r="1473" spans="1:25" ht="36" outlineLevel="2">
      <c r="A1473" s="6" t="s">
        <v>431</v>
      </c>
      <c r="B1473" s="20">
        <f>B1470+B1472</f>
        <v>41</v>
      </c>
      <c r="C1473" s="23">
        <f>C1470+C1472</f>
        <v>205</v>
      </c>
      <c r="D1473" s="20">
        <f>D1470+D1472</f>
        <v>41</v>
      </c>
      <c r="E1473" s="23">
        <f>E1470+E1472</f>
        <v>205</v>
      </c>
      <c r="F1473" s="20" t="s">
        <v>453</v>
      </c>
      <c r="G1473" s="20">
        <f>G1470+G1472</f>
        <v>0</v>
      </c>
      <c r="H1473" s="20">
        <f>H1470+H1472</f>
        <v>0</v>
      </c>
      <c r="I1473" s="20" t="s">
        <v>441</v>
      </c>
      <c r="J1473" s="20">
        <f>J1470+J1472</f>
        <v>0</v>
      </c>
      <c r="K1473" s="20">
        <f>K1470+K1472</f>
        <v>0</v>
      </c>
      <c r="L1473" s="20" t="s">
        <v>441</v>
      </c>
      <c r="M1473" s="20">
        <f aca="true" t="shared" si="218" ref="M1473:X1473">M1470+M1472</f>
        <v>200</v>
      </c>
      <c r="N1473" s="20">
        <f t="shared" si="218"/>
        <v>2200</v>
      </c>
      <c r="O1473" s="23">
        <f t="shared" si="218"/>
        <v>200</v>
      </c>
      <c r="P1473" s="20">
        <f t="shared" si="218"/>
        <v>2</v>
      </c>
      <c r="Q1473" s="20">
        <f t="shared" si="218"/>
        <v>200</v>
      </c>
      <c r="R1473" s="23">
        <f t="shared" si="218"/>
        <v>500</v>
      </c>
      <c r="S1473" s="23">
        <f t="shared" si="218"/>
        <v>200</v>
      </c>
      <c r="T1473" s="23">
        <f t="shared" si="218"/>
        <v>100</v>
      </c>
      <c r="U1473" s="23">
        <f t="shared" si="218"/>
        <v>100</v>
      </c>
      <c r="V1473" s="23">
        <f t="shared" si="218"/>
        <v>100</v>
      </c>
      <c r="W1473" s="23">
        <f t="shared" si="218"/>
        <v>0</v>
      </c>
      <c r="X1473" s="23">
        <f t="shared" si="218"/>
        <v>0</v>
      </c>
      <c r="Y1473" s="86">
        <f t="shared" si="216"/>
        <v>500</v>
      </c>
    </row>
    <row r="1474" spans="1:25" ht="12.75" customHeight="1" outlineLevel="2">
      <c r="A1474" s="160">
        <v>1</v>
      </c>
      <c r="B1474" s="159" t="s">
        <v>655</v>
      </c>
      <c r="C1474" s="159"/>
      <c r="D1474" s="159"/>
      <c r="E1474" s="159"/>
      <c r="F1474" s="159"/>
      <c r="G1474" s="159"/>
      <c r="H1474" s="159"/>
      <c r="I1474" s="159"/>
      <c r="J1474" s="159"/>
      <c r="K1474" s="159"/>
      <c r="L1474" s="159"/>
      <c r="M1474" s="159"/>
      <c r="N1474" s="159"/>
      <c r="O1474" s="159"/>
      <c r="P1474" s="159"/>
      <c r="Q1474" s="159"/>
      <c r="R1474" s="159"/>
      <c r="S1474" s="159"/>
      <c r="T1474" s="159"/>
      <c r="U1474" s="159"/>
      <c r="V1474" s="159"/>
      <c r="W1474" s="159"/>
      <c r="X1474" s="159"/>
      <c r="Y1474" s="86">
        <f t="shared" si="216"/>
        <v>0</v>
      </c>
    </row>
    <row r="1475" spans="1:25" ht="18" outlineLevel="2">
      <c r="A1475" s="160"/>
      <c r="B1475" s="39">
        <f>D1475+G1475+J1475</f>
        <v>25</v>
      </c>
      <c r="C1475" s="40">
        <v>125</v>
      </c>
      <c r="D1475" s="39">
        <v>25</v>
      </c>
      <c r="E1475" s="16">
        <v>125</v>
      </c>
      <c r="F1475" s="39" t="s">
        <v>433</v>
      </c>
      <c r="G1475" s="39"/>
      <c r="H1475" s="39"/>
      <c r="I1475" s="39"/>
      <c r="J1475" s="39"/>
      <c r="K1475" s="39"/>
      <c r="L1475" s="39"/>
      <c r="M1475" s="39">
        <v>300</v>
      </c>
      <c r="N1475" s="39">
        <v>420</v>
      </c>
      <c r="O1475" s="16">
        <v>100</v>
      </c>
      <c r="P1475" s="39">
        <v>1</v>
      </c>
      <c r="Q1475" s="39">
        <v>100</v>
      </c>
      <c r="R1475" s="16">
        <v>199</v>
      </c>
      <c r="S1475" s="18">
        <f>R1475*0.4</f>
        <v>79.60000000000001</v>
      </c>
      <c r="T1475" s="18">
        <f>R1475*0.2</f>
        <v>39.800000000000004</v>
      </c>
      <c r="U1475" s="18">
        <f>R1475*0.2</f>
        <v>39.800000000000004</v>
      </c>
      <c r="V1475" s="18">
        <f>R1475*0.2</f>
        <v>39.800000000000004</v>
      </c>
      <c r="W1475" s="18">
        <f>H1475*1.454</f>
        <v>0</v>
      </c>
      <c r="X1475" s="18">
        <f>K1475*1.454</f>
        <v>0</v>
      </c>
      <c r="Y1475" s="86">
        <f t="shared" si="216"/>
        <v>199.00000000000003</v>
      </c>
    </row>
    <row r="1476" spans="1:25" ht="12.75" customHeight="1" outlineLevel="2">
      <c r="A1476" s="160">
        <v>1</v>
      </c>
      <c r="B1476" s="159" t="s">
        <v>656</v>
      </c>
      <c r="C1476" s="159"/>
      <c r="D1476" s="159"/>
      <c r="E1476" s="159"/>
      <c r="F1476" s="159"/>
      <c r="G1476" s="159"/>
      <c r="H1476" s="159"/>
      <c r="I1476" s="159"/>
      <c r="J1476" s="159"/>
      <c r="K1476" s="159"/>
      <c r="L1476" s="159"/>
      <c r="M1476" s="159"/>
      <c r="N1476" s="159"/>
      <c r="O1476" s="159"/>
      <c r="P1476" s="159"/>
      <c r="Q1476" s="159"/>
      <c r="R1476" s="159"/>
      <c r="S1476" s="159"/>
      <c r="T1476" s="159"/>
      <c r="U1476" s="159"/>
      <c r="V1476" s="159"/>
      <c r="W1476" s="159"/>
      <c r="X1476" s="159"/>
      <c r="Y1476" s="86">
        <f t="shared" si="216"/>
        <v>0</v>
      </c>
    </row>
    <row r="1477" spans="1:25" ht="12.75" customHeight="1" outlineLevel="2">
      <c r="A1477" s="160"/>
      <c r="B1477" s="39">
        <f>D1477+G1477+J1477</f>
        <v>27</v>
      </c>
      <c r="C1477" s="40">
        <v>135</v>
      </c>
      <c r="D1477" s="39">
        <v>27</v>
      </c>
      <c r="E1477" s="16">
        <v>135</v>
      </c>
      <c r="F1477" s="39" t="s">
        <v>433</v>
      </c>
      <c r="G1477" s="39"/>
      <c r="H1477" s="39"/>
      <c r="I1477" s="39"/>
      <c r="J1477" s="39"/>
      <c r="K1477" s="39"/>
      <c r="L1477" s="39"/>
      <c r="M1477" s="39">
        <v>200</v>
      </c>
      <c r="N1477" s="39">
        <v>420</v>
      </c>
      <c r="O1477" s="16">
        <v>100</v>
      </c>
      <c r="P1477" s="39">
        <v>1</v>
      </c>
      <c r="Q1477" s="39">
        <v>100</v>
      </c>
      <c r="R1477" s="16">
        <v>189</v>
      </c>
      <c r="S1477" s="18">
        <f>R1477*0.4</f>
        <v>75.60000000000001</v>
      </c>
      <c r="T1477" s="18">
        <f>R1477*0.2</f>
        <v>37.800000000000004</v>
      </c>
      <c r="U1477" s="18">
        <f>R1477*0.2</f>
        <v>37.800000000000004</v>
      </c>
      <c r="V1477" s="18">
        <f>R1477*0.2</f>
        <v>37.800000000000004</v>
      </c>
      <c r="W1477" s="18">
        <f>H1477*1.454</f>
        <v>0</v>
      </c>
      <c r="X1477" s="18">
        <f>K1477*1.454</f>
        <v>0</v>
      </c>
      <c r="Y1477" s="86">
        <f t="shared" si="216"/>
        <v>189.00000000000003</v>
      </c>
    </row>
    <row r="1478" spans="1:25" ht="12.75" customHeight="1" outlineLevel="2">
      <c r="A1478" s="160">
        <v>1</v>
      </c>
      <c r="B1478" s="159" t="s">
        <v>393</v>
      </c>
      <c r="C1478" s="159"/>
      <c r="D1478" s="159"/>
      <c r="E1478" s="159"/>
      <c r="F1478" s="159"/>
      <c r="G1478" s="159"/>
      <c r="H1478" s="159"/>
      <c r="I1478" s="159"/>
      <c r="J1478" s="159"/>
      <c r="K1478" s="159"/>
      <c r="L1478" s="159"/>
      <c r="M1478" s="159"/>
      <c r="N1478" s="159"/>
      <c r="O1478" s="159"/>
      <c r="P1478" s="159"/>
      <c r="Q1478" s="159"/>
      <c r="R1478" s="159"/>
      <c r="S1478" s="159"/>
      <c r="T1478" s="159"/>
      <c r="U1478" s="159"/>
      <c r="V1478" s="159"/>
      <c r="W1478" s="159"/>
      <c r="X1478" s="159"/>
      <c r="Y1478" s="86">
        <f t="shared" si="216"/>
        <v>0</v>
      </c>
    </row>
    <row r="1479" spans="1:25" ht="18" outlineLevel="2">
      <c r="A1479" s="160"/>
      <c r="B1479" s="39">
        <f>D1479+G1479+J1479</f>
        <v>16</v>
      </c>
      <c r="C1479" s="39">
        <v>85</v>
      </c>
      <c r="D1479" s="39">
        <v>15</v>
      </c>
      <c r="E1479" s="16">
        <v>75</v>
      </c>
      <c r="F1479" s="39" t="s">
        <v>433</v>
      </c>
      <c r="G1479" s="39"/>
      <c r="H1479" s="39"/>
      <c r="I1479" s="39"/>
      <c r="J1479" s="39">
        <v>1</v>
      </c>
      <c r="K1479" s="39">
        <v>10</v>
      </c>
      <c r="L1479" s="39" t="s">
        <v>433</v>
      </c>
      <c r="M1479" s="39">
        <v>350</v>
      </c>
      <c r="N1479" s="39">
        <v>500</v>
      </c>
      <c r="O1479" s="16">
        <v>160</v>
      </c>
      <c r="P1479" s="39">
        <v>1</v>
      </c>
      <c r="Q1479" s="39">
        <v>160</v>
      </c>
      <c r="R1479" s="16">
        <v>208</v>
      </c>
      <c r="S1479" s="18">
        <f>(R1479-13)*0.4</f>
        <v>78</v>
      </c>
      <c r="T1479" s="18">
        <f>(R1479-13)*0.2</f>
        <v>39</v>
      </c>
      <c r="U1479" s="18">
        <f>(R1479-13)*0.2</f>
        <v>39</v>
      </c>
      <c r="V1479" s="18">
        <f>(R1479-13)*0.2</f>
        <v>39</v>
      </c>
      <c r="W1479" s="18">
        <f>H1479*1.454</f>
        <v>0</v>
      </c>
      <c r="X1479" s="18">
        <v>13</v>
      </c>
      <c r="Y1479" s="86">
        <f t="shared" si="216"/>
        <v>208</v>
      </c>
    </row>
    <row r="1480" spans="1:25" ht="12.75" customHeight="1" outlineLevel="2">
      <c r="A1480" s="160">
        <v>2</v>
      </c>
      <c r="B1480" s="159" t="s">
        <v>657</v>
      </c>
      <c r="C1480" s="159"/>
      <c r="D1480" s="159"/>
      <c r="E1480" s="159"/>
      <c r="F1480" s="159"/>
      <c r="G1480" s="159"/>
      <c r="H1480" s="159"/>
      <c r="I1480" s="159"/>
      <c r="J1480" s="159"/>
      <c r="K1480" s="159"/>
      <c r="L1480" s="159"/>
      <c r="M1480" s="159"/>
      <c r="N1480" s="159"/>
      <c r="O1480" s="159"/>
      <c r="P1480" s="159"/>
      <c r="Q1480" s="159"/>
      <c r="R1480" s="159"/>
      <c r="S1480" s="159"/>
      <c r="T1480" s="159"/>
      <c r="U1480" s="159"/>
      <c r="V1480" s="159"/>
      <c r="W1480" s="159"/>
      <c r="X1480" s="159"/>
      <c r="Y1480" s="86">
        <f t="shared" si="216"/>
        <v>0</v>
      </c>
    </row>
    <row r="1481" spans="1:25" ht="18" outlineLevel="2">
      <c r="A1481" s="160"/>
      <c r="B1481" s="39">
        <f>D1481+G1481+J1481</f>
        <v>15</v>
      </c>
      <c r="C1481" s="39">
        <f>E1481+H1481+K1481</f>
        <v>75</v>
      </c>
      <c r="D1481" s="39">
        <v>15</v>
      </c>
      <c r="E1481" s="16">
        <v>75</v>
      </c>
      <c r="F1481" s="39" t="s">
        <v>433</v>
      </c>
      <c r="G1481" s="39"/>
      <c r="H1481" s="39"/>
      <c r="I1481" s="39"/>
      <c r="J1481" s="39"/>
      <c r="K1481" s="39"/>
      <c r="L1481" s="39"/>
      <c r="M1481" s="39"/>
      <c r="N1481" s="39">
        <v>500</v>
      </c>
      <c r="O1481" s="16">
        <f>C1481/0.92</f>
        <v>81.52173913043478</v>
      </c>
      <c r="P1481" s="39"/>
      <c r="Q1481" s="20"/>
      <c r="R1481" s="16">
        <v>55</v>
      </c>
      <c r="S1481" s="18">
        <f>R1481*0.4</f>
        <v>22</v>
      </c>
      <c r="T1481" s="18">
        <f>R1481*0.2</f>
        <v>11</v>
      </c>
      <c r="U1481" s="18">
        <f>R1481*0.2</f>
        <v>11</v>
      </c>
      <c r="V1481" s="18">
        <f>R1481*0.2</f>
        <v>11</v>
      </c>
      <c r="W1481" s="18">
        <f>H1481*1.454</f>
        <v>0</v>
      </c>
      <c r="X1481" s="18">
        <f>K1481*1.454</f>
        <v>0</v>
      </c>
      <c r="Y1481" s="86">
        <f t="shared" si="216"/>
        <v>55</v>
      </c>
    </row>
    <row r="1482" spans="1:25" ht="12.75" customHeight="1" outlineLevel="2">
      <c r="A1482" s="160">
        <v>3</v>
      </c>
      <c r="B1482" s="159" t="s">
        <v>658</v>
      </c>
      <c r="C1482" s="159"/>
      <c r="D1482" s="159"/>
      <c r="E1482" s="159"/>
      <c r="F1482" s="159"/>
      <c r="G1482" s="159"/>
      <c r="H1482" s="159"/>
      <c r="I1482" s="159"/>
      <c r="J1482" s="159"/>
      <c r="K1482" s="159"/>
      <c r="L1482" s="159"/>
      <c r="M1482" s="159"/>
      <c r="N1482" s="159"/>
      <c r="O1482" s="159"/>
      <c r="P1482" s="159"/>
      <c r="Q1482" s="159"/>
      <c r="R1482" s="159"/>
      <c r="S1482" s="159"/>
      <c r="T1482" s="159"/>
      <c r="U1482" s="159"/>
      <c r="V1482" s="159"/>
      <c r="W1482" s="159"/>
      <c r="X1482" s="159"/>
      <c r="Y1482" s="86">
        <f t="shared" si="216"/>
        <v>0</v>
      </c>
    </row>
    <row r="1483" spans="1:25" ht="18" outlineLevel="2">
      <c r="A1483" s="160"/>
      <c r="B1483" s="39">
        <f>D1483+G1483+J1483</f>
        <v>20</v>
      </c>
      <c r="C1483" s="39">
        <f>E1483+H1483+K1483</f>
        <v>100</v>
      </c>
      <c r="D1483" s="39">
        <v>20</v>
      </c>
      <c r="E1483" s="16">
        <v>100</v>
      </c>
      <c r="F1483" s="39" t="s">
        <v>433</v>
      </c>
      <c r="G1483" s="39"/>
      <c r="H1483" s="39"/>
      <c r="I1483" s="39"/>
      <c r="J1483" s="39"/>
      <c r="K1483" s="39"/>
      <c r="L1483" s="39"/>
      <c r="M1483" s="39"/>
      <c r="N1483" s="39">
        <v>500</v>
      </c>
      <c r="O1483" s="16">
        <f>C1483/0.92</f>
        <v>108.69565217391303</v>
      </c>
      <c r="P1483" s="39"/>
      <c r="Q1483" s="20"/>
      <c r="R1483" s="16">
        <v>55</v>
      </c>
      <c r="S1483" s="18">
        <f>R1483*0.4</f>
        <v>22</v>
      </c>
      <c r="T1483" s="18">
        <f>R1483*0.2</f>
        <v>11</v>
      </c>
      <c r="U1483" s="18">
        <f>R1483*0.2</f>
        <v>11</v>
      </c>
      <c r="V1483" s="18">
        <f>R1483*0.2</f>
        <v>11</v>
      </c>
      <c r="W1483" s="18">
        <f>H1483*1.454</f>
        <v>0</v>
      </c>
      <c r="X1483" s="18">
        <f>K1483*1.454</f>
        <v>0</v>
      </c>
      <c r="Y1483" s="86">
        <f t="shared" si="216"/>
        <v>55</v>
      </c>
    </row>
    <row r="1484" spans="1:25" ht="36" outlineLevel="2">
      <c r="A1484" s="6" t="s">
        <v>431</v>
      </c>
      <c r="B1484" s="20">
        <f>B1479+B1481+B1483</f>
        <v>51</v>
      </c>
      <c r="C1484" s="20">
        <f>C1479+C1481+C1483</f>
        <v>260</v>
      </c>
      <c r="D1484" s="20">
        <f>D1479+D1481+D1483</f>
        <v>50</v>
      </c>
      <c r="E1484" s="20">
        <f>E1479+E1481+E1483</f>
        <v>250</v>
      </c>
      <c r="F1484" s="20" t="s">
        <v>433</v>
      </c>
      <c r="G1484" s="20">
        <f>G1479+G1481+G1483</f>
        <v>0</v>
      </c>
      <c r="H1484" s="20">
        <f>H1479+H1481+H1483</f>
        <v>0</v>
      </c>
      <c r="I1484" s="20" t="s">
        <v>441</v>
      </c>
      <c r="J1484" s="20">
        <f>J1479+J1481+J1483</f>
        <v>1</v>
      </c>
      <c r="K1484" s="20">
        <f>K1479+K1481+K1483</f>
        <v>10</v>
      </c>
      <c r="L1484" s="20" t="s">
        <v>433</v>
      </c>
      <c r="M1484" s="20">
        <f aca="true" t="shared" si="219" ref="M1484:X1484">M1479+M1481+M1483</f>
        <v>350</v>
      </c>
      <c r="N1484" s="20">
        <f t="shared" si="219"/>
        <v>1500</v>
      </c>
      <c r="O1484" s="23">
        <f t="shared" si="219"/>
        <v>350.2173913043478</v>
      </c>
      <c r="P1484" s="20">
        <f t="shared" si="219"/>
        <v>1</v>
      </c>
      <c r="Q1484" s="20">
        <f t="shared" si="219"/>
        <v>160</v>
      </c>
      <c r="R1484" s="23">
        <f>R1479+R1481+R1483</f>
        <v>318</v>
      </c>
      <c r="S1484" s="23">
        <f t="shared" si="219"/>
        <v>122</v>
      </c>
      <c r="T1484" s="23">
        <f t="shared" si="219"/>
        <v>61</v>
      </c>
      <c r="U1484" s="23">
        <f t="shared" si="219"/>
        <v>61</v>
      </c>
      <c r="V1484" s="23">
        <f t="shared" si="219"/>
        <v>61</v>
      </c>
      <c r="W1484" s="23">
        <f t="shared" si="219"/>
        <v>0</v>
      </c>
      <c r="X1484" s="23">
        <f t="shared" si="219"/>
        <v>13</v>
      </c>
      <c r="Y1484" s="86">
        <f t="shared" si="216"/>
        <v>318</v>
      </c>
    </row>
    <row r="1485" spans="1:25" ht="12.75" customHeight="1" outlineLevel="2">
      <c r="A1485" s="160">
        <v>1</v>
      </c>
      <c r="B1485" s="159" t="s">
        <v>394</v>
      </c>
      <c r="C1485" s="159"/>
      <c r="D1485" s="159"/>
      <c r="E1485" s="159"/>
      <c r="F1485" s="159"/>
      <c r="G1485" s="159"/>
      <c r="H1485" s="159"/>
      <c r="I1485" s="159"/>
      <c r="J1485" s="159"/>
      <c r="K1485" s="159"/>
      <c r="L1485" s="159"/>
      <c r="M1485" s="159"/>
      <c r="N1485" s="159"/>
      <c r="O1485" s="159"/>
      <c r="P1485" s="159"/>
      <c r="Q1485" s="159"/>
      <c r="R1485" s="159"/>
      <c r="S1485" s="159"/>
      <c r="T1485" s="159"/>
      <c r="U1485" s="159"/>
      <c r="V1485" s="159"/>
      <c r="W1485" s="159"/>
      <c r="X1485" s="159"/>
      <c r="Y1485" s="86">
        <f t="shared" si="216"/>
        <v>0</v>
      </c>
    </row>
    <row r="1486" spans="1:25" ht="18" outlineLevel="2">
      <c r="A1486" s="160"/>
      <c r="B1486" s="39">
        <f>D1486+G1486+J1486</f>
        <v>15</v>
      </c>
      <c r="C1486" s="39">
        <f>E1486+H1486+K1486</f>
        <v>75</v>
      </c>
      <c r="D1486" s="39">
        <v>15</v>
      </c>
      <c r="E1486" s="16">
        <v>75</v>
      </c>
      <c r="F1486" s="39" t="s">
        <v>453</v>
      </c>
      <c r="G1486" s="39"/>
      <c r="H1486" s="39"/>
      <c r="I1486" s="39"/>
      <c r="J1486" s="39"/>
      <c r="K1486" s="39"/>
      <c r="L1486" s="39"/>
      <c r="M1486" s="39">
        <v>500</v>
      </c>
      <c r="N1486" s="39">
        <v>1500</v>
      </c>
      <c r="O1486" s="16">
        <v>100</v>
      </c>
      <c r="P1486" s="39">
        <v>1</v>
      </c>
      <c r="Q1486" s="39">
        <v>100</v>
      </c>
      <c r="R1486" s="16">
        <v>335</v>
      </c>
      <c r="S1486" s="18">
        <f>R1486*0.4</f>
        <v>134</v>
      </c>
      <c r="T1486" s="18">
        <f>R1486*0.2</f>
        <v>67</v>
      </c>
      <c r="U1486" s="18">
        <f>R1486*0.2</f>
        <v>67</v>
      </c>
      <c r="V1486" s="18">
        <f>R1486*0.2</f>
        <v>67</v>
      </c>
      <c r="W1486" s="18">
        <f>H1486*1.454</f>
        <v>0</v>
      </c>
      <c r="X1486" s="18">
        <f>K1486*1.454</f>
        <v>0</v>
      </c>
      <c r="Y1486" s="86">
        <f t="shared" si="216"/>
        <v>335</v>
      </c>
    </row>
    <row r="1487" spans="1:25" ht="12.75" customHeight="1" outlineLevel="2">
      <c r="A1487" s="160">
        <v>2</v>
      </c>
      <c r="B1487" s="159" t="s">
        <v>395</v>
      </c>
      <c r="C1487" s="159"/>
      <c r="D1487" s="159"/>
      <c r="E1487" s="159"/>
      <c r="F1487" s="159"/>
      <c r="G1487" s="159"/>
      <c r="H1487" s="159"/>
      <c r="I1487" s="159"/>
      <c r="J1487" s="159"/>
      <c r="K1487" s="159"/>
      <c r="L1487" s="159"/>
      <c r="M1487" s="159"/>
      <c r="N1487" s="159"/>
      <c r="O1487" s="159"/>
      <c r="P1487" s="159"/>
      <c r="Q1487" s="159"/>
      <c r="R1487" s="159"/>
      <c r="S1487" s="159"/>
      <c r="T1487" s="159"/>
      <c r="U1487" s="159"/>
      <c r="V1487" s="159"/>
      <c r="W1487" s="159"/>
      <c r="X1487" s="159"/>
      <c r="Y1487" s="86">
        <f t="shared" si="216"/>
        <v>0</v>
      </c>
    </row>
    <row r="1488" spans="1:25" ht="12.75" customHeight="1" outlineLevel="2">
      <c r="A1488" s="160"/>
      <c r="B1488" s="39">
        <f>D1488+G1488+J1488</f>
        <v>9</v>
      </c>
      <c r="C1488" s="40">
        <f>E1488+H1488+K1488</f>
        <v>45</v>
      </c>
      <c r="D1488" s="39">
        <v>9</v>
      </c>
      <c r="E1488" s="16">
        <v>45</v>
      </c>
      <c r="F1488" s="39" t="s">
        <v>453</v>
      </c>
      <c r="G1488" s="39"/>
      <c r="H1488" s="39"/>
      <c r="I1488" s="39"/>
      <c r="J1488" s="39"/>
      <c r="K1488" s="39"/>
      <c r="L1488" s="39"/>
      <c r="M1488" s="39"/>
      <c r="N1488" s="39">
        <v>2500</v>
      </c>
      <c r="O1488" s="16">
        <f>C1488/0.92</f>
        <v>48.91304347826087</v>
      </c>
      <c r="P1488" s="39"/>
      <c r="Q1488" s="39"/>
      <c r="R1488" s="16">
        <v>275</v>
      </c>
      <c r="S1488" s="18">
        <f>R1488*0.4</f>
        <v>110</v>
      </c>
      <c r="T1488" s="18">
        <f>R1488*0.2</f>
        <v>55</v>
      </c>
      <c r="U1488" s="18">
        <f>R1488*0.2</f>
        <v>55</v>
      </c>
      <c r="V1488" s="18">
        <f>R1488*0.2</f>
        <v>55</v>
      </c>
      <c r="W1488" s="18">
        <f>H1488*1.454</f>
        <v>0</v>
      </c>
      <c r="X1488" s="18">
        <f>K1488*1.454</f>
        <v>0</v>
      </c>
      <c r="Y1488" s="86">
        <f t="shared" si="216"/>
        <v>275</v>
      </c>
    </row>
    <row r="1489" spans="1:25" ht="36" outlineLevel="2">
      <c r="A1489" s="6" t="s">
        <v>431</v>
      </c>
      <c r="B1489" s="20">
        <f>B1486+B1488</f>
        <v>24</v>
      </c>
      <c r="C1489" s="23">
        <f>C1486+C1488</f>
        <v>120</v>
      </c>
      <c r="D1489" s="20">
        <f>D1486+D1488</f>
        <v>24</v>
      </c>
      <c r="E1489" s="23">
        <f>E1486+E1488</f>
        <v>120</v>
      </c>
      <c r="F1489" s="20" t="s">
        <v>453</v>
      </c>
      <c r="G1489" s="20">
        <f>G1486+G1488</f>
        <v>0</v>
      </c>
      <c r="H1489" s="20">
        <f>H1486+H1488</f>
        <v>0</v>
      </c>
      <c r="I1489" s="20" t="s">
        <v>441</v>
      </c>
      <c r="J1489" s="20">
        <f>J1486+J1488</f>
        <v>0</v>
      </c>
      <c r="K1489" s="20">
        <f>K1486+K1488</f>
        <v>0</v>
      </c>
      <c r="L1489" s="20" t="s">
        <v>441</v>
      </c>
      <c r="M1489" s="20">
        <f aca="true" t="shared" si="220" ref="M1489:X1489">M1486+M1488</f>
        <v>500</v>
      </c>
      <c r="N1489" s="20">
        <f t="shared" si="220"/>
        <v>4000</v>
      </c>
      <c r="O1489" s="23">
        <f t="shared" si="220"/>
        <v>148.91304347826087</v>
      </c>
      <c r="P1489" s="20">
        <f t="shared" si="220"/>
        <v>1</v>
      </c>
      <c r="Q1489" s="20">
        <f t="shared" si="220"/>
        <v>100</v>
      </c>
      <c r="R1489" s="23">
        <f t="shared" si="220"/>
        <v>610</v>
      </c>
      <c r="S1489" s="23">
        <f t="shared" si="220"/>
        <v>244</v>
      </c>
      <c r="T1489" s="23">
        <f t="shared" si="220"/>
        <v>122</v>
      </c>
      <c r="U1489" s="23">
        <f t="shared" si="220"/>
        <v>122</v>
      </c>
      <c r="V1489" s="23">
        <f t="shared" si="220"/>
        <v>122</v>
      </c>
      <c r="W1489" s="23">
        <f t="shared" si="220"/>
        <v>0</v>
      </c>
      <c r="X1489" s="23">
        <f t="shared" si="220"/>
        <v>0</v>
      </c>
      <c r="Y1489" s="86">
        <f t="shared" si="216"/>
        <v>610</v>
      </c>
    </row>
    <row r="1490" spans="1:25" ht="12.75" customHeight="1" outlineLevel="2">
      <c r="A1490" s="160">
        <v>1</v>
      </c>
      <c r="B1490" s="159" t="s">
        <v>695</v>
      </c>
      <c r="C1490" s="159"/>
      <c r="D1490" s="159"/>
      <c r="E1490" s="159"/>
      <c r="F1490" s="159"/>
      <c r="G1490" s="159"/>
      <c r="H1490" s="159"/>
      <c r="I1490" s="159"/>
      <c r="J1490" s="159"/>
      <c r="K1490" s="159"/>
      <c r="L1490" s="159"/>
      <c r="M1490" s="159"/>
      <c r="N1490" s="159"/>
      <c r="O1490" s="159"/>
      <c r="P1490" s="159"/>
      <c r="Q1490" s="159"/>
      <c r="R1490" s="159"/>
      <c r="S1490" s="159"/>
      <c r="T1490" s="159"/>
      <c r="U1490" s="159"/>
      <c r="V1490" s="159"/>
      <c r="W1490" s="159"/>
      <c r="X1490" s="31"/>
      <c r="Y1490" s="86">
        <f t="shared" si="216"/>
        <v>0</v>
      </c>
    </row>
    <row r="1491" spans="1:25" ht="12.75" customHeight="1" outlineLevel="2">
      <c r="A1491" s="160"/>
      <c r="B1491" s="39">
        <f>D1491+G1491+J1491</f>
        <v>40</v>
      </c>
      <c r="C1491" s="39">
        <v>200</v>
      </c>
      <c r="D1491" s="39">
        <v>40</v>
      </c>
      <c r="E1491" s="16">
        <v>200</v>
      </c>
      <c r="F1491" s="39" t="s">
        <v>453</v>
      </c>
      <c r="G1491" s="39"/>
      <c r="H1491" s="39"/>
      <c r="I1491" s="39"/>
      <c r="J1491" s="39"/>
      <c r="K1491" s="39"/>
      <c r="L1491" s="39"/>
      <c r="M1491" s="39">
        <v>140</v>
      </c>
      <c r="N1491" s="39">
        <v>1500</v>
      </c>
      <c r="O1491" s="16">
        <f>C1491/0.92</f>
        <v>217.39130434782606</v>
      </c>
      <c r="P1491" s="39">
        <v>1</v>
      </c>
      <c r="Q1491" s="39">
        <v>160</v>
      </c>
      <c r="R1491" s="16">
        <v>299</v>
      </c>
      <c r="S1491" s="18">
        <f>R1491*0.4</f>
        <v>119.60000000000001</v>
      </c>
      <c r="T1491" s="18">
        <f>R1491*0.2</f>
        <v>59.800000000000004</v>
      </c>
      <c r="U1491" s="18">
        <f>R1491*0.2</f>
        <v>59.800000000000004</v>
      </c>
      <c r="V1491" s="18">
        <f>R1491*0.2</f>
        <v>59.800000000000004</v>
      </c>
      <c r="W1491" s="18">
        <f>H1491*1.454</f>
        <v>0</v>
      </c>
      <c r="X1491" s="18">
        <f>K1491*1.454</f>
        <v>0</v>
      </c>
      <c r="Y1491" s="86">
        <f t="shared" si="216"/>
        <v>299</v>
      </c>
    </row>
    <row r="1492" spans="1:25" ht="12.75" customHeight="1" outlineLevel="2">
      <c r="A1492" s="160">
        <v>1</v>
      </c>
      <c r="B1492" s="159" t="s">
        <v>396</v>
      </c>
      <c r="C1492" s="159"/>
      <c r="D1492" s="159"/>
      <c r="E1492" s="159"/>
      <c r="F1492" s="159"/>
      <c r="G1492" s="159"/>
      <c r="H1492" s="159"/>
      <c r="I1492" s="159"/>
      <c r="J1492" s="159"/>
      <c r="K1492" s="159"/>
      <c r="L1492" s="159"/>
      <c r="M1492" s="159"/>
      <c r="N1492" s="159"/>
      <c r="O1492" s="159"/>
      <c r="P1492" s="159"/>
      <c r="Q1492" s="159"/>
      <c r="R1492" s="159"/>
      <c r="S1492" s="159"/>
      <c r="T1492" s="159"/>
      <c r="U1492" s="159"/>
      <c r="V1492" s="159"/>
      <c r="W1492" s="159"/>
      <c r="X1492" s="159"/>
      <c r="Y1492" s="86">
        <f t="shared" si="216"/>
        <v>0</v>
      </c>
    </row>
    <row r="1493" spans="1:25" ht="12.75" customHeight="1" outlineLevel="2">
      <c r="A1493" s="160"/>
      <c r="B1493" s="39">
        <f>D1493+G1493+J1493</f>
        <v>23</v>
      </c>
      <c r="C1493" s="40">
        <f>E1493+H1493+K1493</f>
        <v>165</v>
      </c>
      <c r="D1493" s="39">
        <v>23</v>
      </c>
      <c r="E1493" s="16">
        <v>165</v>
      </c>
      <c r="F1493" s="39" t="s">
        <v>453</v>
      </c>
      <c r="G1493" s="39"/>
      <c r="H1493" s="39"/>
      <c r="I1493" s="39"/>
      <c r="J1493" s="39"/>
      <c r="K1493" s="39"/>
      <c r="L1493" s="39"/>
      <c r="M1493" s="39">
        <v>300</v>
      </c>
      <c r="N1493" s="39">
        <v>800</v>
      </c>
      <c r="O1493" s="16">
        <f>C1493/0.92</f>
        <v>179.3478260869565</v>
      </c>
      <c r="P1493" s="39">
        <v>1</v>
      </c>
      <c r="Q1493" s="39">
        <v>100</v>
      </c>
      <c r="R1493" s="16">
        <v>237</v>
      </c>
      <c r="S1493" s="18">
        <f>R1493*0.4</f>
        <v>94.80000000000001</v>
      </c>
      <c r="T1493" s="18">
        <f>R1493*0.2</f>
        <v>47.400000000000006</v>
      </c>
      <c r="U1493" s="18">
        <f>R1493*0.2</f>
        <v>47.400000000000006</v>
      </c>
      <c r="V1493" s="18">
        <f>R1493*0.2</f>
        <v>47.400000000000006</v>
      </c>
      <c r="W1493" s="18">
        <f>H1493*1.454</f>
        <v>0</v>
      </c>
      <c r="X1493" s="18">
        <f>K1493*1.454</f>
        <v>0</v>
      </c>
      <c r="Y1493" s="86">
        <f t="shared" si="216"/>
        <v>237.00000000000003</v>
      </c>
    </row>
    <row r="1494" spans="1:25" ht="12.75" customHeight="1" outlineLevel="2">
      <c r="A1494" s="160">
        <v>2</v>
      </c>
      <c r="B1494" s="159" t="s">
        <v>397</v>
      </c>
      <c r="C1494" s="159"/>
      <c r="D1494" s="159"/>
      <c r="E1494" s="159"/>
      <c r="F1494" s="159"/>
      <c r="G1494" s="159"/>
      <c r="H1494" s="159"/>
      <c r="I1494" s="159"/>
      <c r="J1494" s="159"/>
      <c r="K1494" s="159"/>
      <c r="L1494" s="159"/>
      <c r="M1494" s="159"/>
      <c r="N1494" s="159"/>
      <c r="O1494" s="159"/>
      <c r="P1494" s="159"/>
      <c r="Q1494" s="159"/>
      <c r="R1494" s="159"/>
      <c r="S1494" s="159"/>
      <c r="T1494" s="159"/>
      <c r="U1494" s="159"/>
      <c r="V1494" s="159"/>
      <c r="W1494" s="159"/>
      <c r="X1494" s="159"/>
      <c r="Y1494" s="86">
        <f t="shared" si="216"/>
        <v>0</v>
      </c>
    </row>
    <row r="1495" spans="1:25" ht="12.75" customHeight="1" outlineLevel="2">
      <c r="A1495" s="160"/>
      <c r="B1495" s="39">
        <f>D1495+G1495+J1495</f>
        <v>18</v>
      </c>
      <c r="C1495" s="40">
        <f>E1495+H1495+K1495</f>
        <v>80</v>
      </c>
      <c r="D1495" s="39">
        <v>18</v>
      </c>
      <c r="E1495" s="16">
        <v>80</v>
      </c>
      <c r="F1495" s="39" t="s">
        <v>453</v>
      </c>
      <c r="G1495" s="39"/>
      <c r="H1495" s="39"/>
      <c r="I1495" s="39"/>
      <c r="J1495" s="39"/>
      <c r="K1495" s="39"/>
      <c r="L1495" s="39"/>
      <c r="M1495" s="39">
        <v>445</v>
      </c>
      <c r="N1495" s="39">
        <v>500</v>
      </c>
      <c r="O1495" s="16">
        <f>C1495/0.92</f>
        <v>86.95652173913044</v>
      </c>
      <c r="P1495" s="39">
        <v>1</v>
      </c>
      <c r="Q1495" s="39">
        <v>100</v>
      </c>
      <c r="R1495" s="16">
        <v>217</v>
      </c>
      <c r="S1495" s="18">
        <f>R1495*0.4</f>
        <v>86.80000000000001</v>
      </c>
      <c r="T1495" s="18">
        <f>R1495*0.2</f>
        <v>43.400000000000006</v>
      </c>
      <c r="U1495" s="18">
        <f>R1495*0.2</f>
        <v>43.400000000000006</v>
      </c>
      <c r="V1495" s="18">
        <f>R1495*0.2</f>
        <v>43.400000000000006</v>
      </c>
      <c r="W1495" s="18">
        <f>H1495*1.454</f>
        <v>0</v>
      </c>
      <c r="X1495" s="18">
        <f>K1495*1.454</f>
        <v>0</v>
      </c>
      <c r="Y1495" s="86">
        <f t="shared" si="216"/>
        <v>217.00000000000003</v>
      </c>
    </row>
    <row r="1496" spans="1:25" ht="36" outlineLevel="2">
      <c r="A1496" s="6" t="s">
        <v>431</v>
      </c>
      <c r="B1496" s="20">
        <f>B1493+B1495</f>
        <v>41</v>
      </c>
      <c r="C1496" s="23">
        <f>C1493+C1495</f>
        <v>245</v>
      </c>
      <c r="D1496" s="20">
        <f>D1493+D1495</f>
        <v>41</v>
      </c>
      <c r="E1496" s="23">
        <f>E1493+E1495</f>
        <v>245</v>
      </c>
      <c r="F1496" s="20" t="s">
        <v>453</v>
      </c>
      <c r="G1496" s="20">
        <f>G1493+G1495</f>
        <v>0</v>
      </c>
      <c r="H1496" s="20">
        <f>H1493+H1495</f>
        <v>0</v>
      </c>
      <c r="I1496" s="20" t="s">
        <v>441</v>
      </c>
      <c r="J1496" s="20">
        <f>J1493+J1495</f>
        <v>0</v>
      </c>
      <c r="K1496" s="20">
        <f>K1493+K1495</f>
        <v>0</v>
      </c>
      <c r="L1496" s="20" t="s">
        <v>441</v>
      </c>
      <c r="M1496" s="20">
        <f aca="true" t="shared" si="221" ref="M1496:X1496">M1493+M1495</f>
        <v>745</v>
      </c>
      <c r="N1496" s="20">
        <f t="shared" si="221"/>
        <v>1300</v>
      </c>
      <c r="O1496" s="23">
        <f t="shared" si="221"/>
        <v>266.30434782608694</v>
      </c>
      <c r="P1496" s="20">
        <f t="shared" si="221"/>
        <v>2</v>
      </c>
      <c r="Q1496" s="20">
        <f t="shared" si="221"/>
        <v>200</v>
      </c>
      <c r="R1496" s="23">
        <f t="shared" si="221"/>
        <v>454</v>
      </c>
      <c r="S1496" s="23">
        <f t="shared" si="221"/>
        <v>181.60000000000002</v>
      </c>
      <c r="T1496" s="23">
        <f t="shared" si="221"/>
        <v>90.80000000000001</v>
      </c>
      <c r="U1496" s="23">
        <f t="shared" si="221"/>
        <v>90.80000000000001</v>
      </c>
      <c r="V1496" s="23">
        <f t="shared" si="221"/>
        <v>90.80000000000001</v>
      </c>
      <c r="W1496" s="23">
        <f t="shared" si="221"/>
        <v>0</v>
      </c>
      <c r="X1496" s="23">
        <f t="shared" si="221"/>
        <v>0</v>
      </c>
      <c r="Y1496" s="86">
        <f t="shared" si="216"/>
        <v>454.00000000000006</v>
      </c>
    </row>
    <row r="1497" spans="1:25" ht="12.75" customHeight="1" outlineLevel="2">
      <c r="A1497" s="160">
        <v>1</v>
      </c>
      <c r="B1497" s="159" t="s">
        <v>398</v>
      </c>
      <c r="C1497" s="159"/>
      <c r="D1497" s="159"/>
      <c r="E1497" s="159"/>
      <c r="F1497" s="159"/>
      <c r="G1497" s="159"/>
      <c r="H1497" s="159"/>
      <c r="I1497" s="159"/>
      <c r="J1497" s="159"/>
      <c r="K1497" s="159"/>
      <c r="L1497" s="159"/>
      <c r="M1497" s="159"/>
      <c r="N1497" s="159"/>
      <c r="O1497" s="159"/>
      <c r="P1497" s="159"/>
      <c r="Q1497" s="159"/>
      <c r="R1497" s="159"/>
      <c r="S1497" s="159"/>
      <c r="T1497" s="159"/>
      <c r="U1497" s="159"/>
      <c r="V1497" s="159"/>
      <c r="W1497" s="159"/>
      <c r="X1497" s="159"/>
      <c r="Y1497" s="86">
        <f t="shared" si="216"/>
        <v>0</v>
      </c>
    </row>
    <row r="1498" spans="1:25" ht="12.75" customHeight="1" outlineLevel="2">
      <c r="A1498" s="160"/>
      <c r="B1498" s="39">
        <f>D1498+G1498+J1498</f>
        <v>20</v>
      </c>
      <c r="C1498" s="39">
        <f>E1498+H1498+K1498</f>
        <v>100</v>
      </c>
      <c r="D1498" s="39">
        <v>20</v>
      </c>
      <c r="E1498" s="16">
        <v>100</v>
      </c>
      <c r="F1498" s="39" t="s">
        <v>453</v>
      </c>
      <c r="G1498" s="39"/>
      <c r="H1498" s="39"/>
      <c r="I1498" s="39"/>
      <c r="J1498" s="39"/>
      <c r="K1498" s="39"/>
      <c r="L1498" s="39"/>
      <c r="M1498" s="39">
        <v>240</v>
      </c>
      <c r="N1498" s="39">
        <v>350</v>
      </c>
      <c r="O1498" s="16">
        <f>C1498/0.92</f>
        <v>108.69565217391303</v>
      </c>
      <c r="P1498" s="39">
        <v>1</v>
      </c>
      <c r="Q1498" s="39">
        <v>100</v>
      </c>
      <c r="R1498" s="16">
        <v>182</v>
      </c>
      <c r="S1498" s="18">
        <f>R1498*0.4</f>
        <v>72.8</v>
      </c>
      <c r="T1498" s="18">
        <f>R1498*0.2</f>
        <v>36.4</v>
      </c>
      <c r="U1498" s="18">
        <f>R1498*0.2</f>
        <v>36.4</v>
      </c>
      <c r="V1498" s="18">
        <f>R1498*0.2</f>
        <v>36.4</v>
      </c>
      <c r="W1498" s="18">
        <f>H1498*1.454</f>
        <v>0</v>
      </c>
      <c r="X1498" s="18">
        <f>K1498*1.454</f>
        <v>0</v>
      </c>
      <c r="Y1498" s="86">
        <f t="shared" si="216"/>
        <v>182</v>
      </c>
    </row>
    <row r="1499" spans="1:25" ht="12.75" customHeight="1" outlineLevel="2">
      <c r="A1499" s="160">
        <v>1</v>
      </c>
      <c r="B1499" s="159" t="s">
        <v>736</v>
      </c>
      <c r="C1499" s="159"/>
      <c r="D1499" s="159"/>
      <c r="E1499" s="159"/>
      <c r="F1499" s="159"/>
      <c r="G1499" s="159"/>
      <c r="H1499" s="159"/>
      <c r="I1499" s="159"/>
      <c r="J1499" s="159"/>
      <c r="K1499" s="159"/>
      <c r="L1499" s="159"/>
      <c r="M1499" s="159"/>
      <c r="N1499" s="159"/>
      <c r="O1499" s="159"/>
      <c r="P1499" s="159"/>
      <c r="Q1499" s="159"/>
      <c r="R1499" s="159"/>
      <c r="S1499" s="159"/>
      <c r="T1499" s="159"/>
      <c r="U1499" s="159"/>
      <c r="V1499" s="159"/>
      <c r="W1499" s="159"/>
      <c r="X1499" s="159"/>
      <c r="Y1499" s="86">
        <f t="shared" si="216"/>
        <v>0</v>
      </c>
    </row>
    <row r="1500" spans="1:25" ht="12.75" customHeight="1" outlineLevel="2">
      <c r="A1500" s="160"/>
      <c r="B1500" s="39"/>
      <c r="C1500" s="39"/>
      <c r="D1500" s="39"/>
      <c r="E1500" s="16"/>
      <c r="F1500" s="39"/>
      <c r="G1500" s="39"/>
      <c r="H1500" s="39"/>
      <c r="I1500" s="39"/>
      <c r="J1500" s="39"/>
      <c r="K1500" s="39"/>
      <c r="L1500" s="39"/>
      <c r="M1500" s="39"/>
      <c r="N1500" s="39"/>
      <c r="O1500" s="16"/>
      <c r="P1500" s="39">
        <v>1</v>
      </c>
      <c r="Q1500" s="39">
        <v>250</v>
      </c>
      <c r="R1500" s="16">
        <v>36.43</v>
      </c>
      <c r="S1500" s="18">
        <f>0.4*R1500</f>
        <v>14.572000000000001</v>
      </c>
      <c r="T1500" s="18">
        <f>0.2*R1500</f>
        <v>7.2860000000000005</v>
      </c>
      <c r="U1500" s="18">
        <f>0.2*R1500</f>
        <v>7.2860000000000005</v>
      </c>
      <c r="V1500" s="18">
        <f>0.2*R1500</f>
        <v>7.2860000000000005</v>
      </c>
      <c r="W1500" s="18">
        <f>H1500*1.454</f>
        <v>0</v>
      </c>
      <c r="X1500" s="18">
        <f>K1500*1.454</f>
        <v>0</v>
      </c>
      <c r="Y1500" s="86">
        <f t="shared" si="216"/>
        <v>36.43</v>
      </c>
    </row>
    <row r="1501" spans="1:25" ht="12.75" customHeight="1" outlineLevel="2">
      <c r="A1501" s="160">
        <v>2</v>
      </c>
      <c r="B1501" s="159" t="s">
        <v>737</v>
      </c>
      <c r="C1501" s="159"/>
      <c r="D1501" s="159"/>
      <c r="E1501" s="159"/>
      <c r="F1501" s="159"/>
      <c r="G1501" s="159"/>
      <c r="H1501" s="159"/>
      <c r="I1501" s="159"/>
      <c r="J1501" s="159"/>
      <c r="K1501" s="159"/>
      <c r="L1501" s="159"/>
      <c r="M1501" s="159"/>
      <c r="N1501" s="159"/>
      <c r="O1501" s="159"/>
      <c r="P1501" s="159"/>
      <c r="Q1501" s="159"/>
      <c r="R1501" s="159"/>
      <c r="S1501" s="159"/>
      <c r="T1501" s="159"/>
      <c r="U1501" s="159"/>
      <c r="V1501" s="159"/>
      <c r="W1501" s="159"/>
      <c r="X1501" s="159"/>
      <c r="Y1501" s="86">
        <f t="shared" si="216"/>
        <v>0</v>
      </c>
    </row>
    <row r="1502" spans="1:25" ht="18.75" customHeight="1" outlineLevel="2">
      <c r="A1502" s="160"/>
      <c r="B1502" s="39">
        <v>1235</v>
      </c>
      <c r="C1502" s="40">
        <v>405</v>
      </c>
      <c r="D1502" s="39">
        <v>135</v>
      </c>
      <c r="E1502" s="16">
        <v>405</v>
      </c>
      <c r="F1502" s="39" t="s">
        <v>453</v>
      </c>
      <c r="G1502" s="39"/>
      <c r="H1502" s="39"/>
      <c r="I1502" s="39"/>
      <c r="J1502" s="39"/>
      <c r="K1502" s="39"/>
      <c r="L1502" s="39"/>
      <c r="M1502" s="39"/>
      <c r="N1502" s="39">
        <v>1210</v>
      </c>
      <c r="O1502" s="16"/>
      <c r="P1502" s="39"/>
      <c r="Q1502" s="39"/>
      <c r="R1502" s="16">
        <v>373</v>
      </c>
      <c r="S1502" s="18">
        <f>R1502*0.4</f>
        <v>149.20000000000002</v>
      </c>
      <c r="T1502" s="18">
        <f>R1502*0.2</f>
        <v>74.60000000000001</v>
      </c>
      <c r="U1502" s="18">
        <f>R1502*0.2</f>
        <v>74.60000000000001</v>
      </c>
      <c r="V1502" s="18">
        <f>R1502*0.2</f>
        <v>74.60000000000001</v>
      </c>
      <c r="W1502" s="18">
        <f>H1502*1.454</f>
        <v>0</v>
      </c>
      <c r="X1502" s="18">
        <f>K1502*1.454</f>
        <v>0</v>
      </c>
      <c r="Y1502" s="86">
        <f t="shared" si="216"/>
        <v>373.00000000000006</v>
      </c>
    </row>
    <row r="1503" spans="1:25" ht="36" outlineLevel="2">
      <c r="A1503" s="6" t="s">
        <v>431</v>
      </c>
      <c r="B1503" s="20">
        <f>B1500+B1502</f>
        <v>1235</v>
      </c>
      <c r="C1503" s="23">
        <f>C1500+C1502</f>
        <v>405</v>
      </c>
      <c r="D1503" s="20">
        <f>D1500+D1502</f>
        <v>135</v>
      </c>
      <c r="E1503" s="23">
        <f>E1500+E1502</f>
        <v>405</v>
      </c>
      <c r="F1503" s="6" t="s">
        <v>453</v>
      </c>
      <c r="G1503" s="20">
        <f>G1500+G1502</f>
        <v>0</v>
      </c>
      <c r="H1503" s="20">
        <f>H1500+H1502</f>
        <v>0</v>
      </c>
      <c r="I1503" s="20" t="s">
        <v>441</v>
      </c>
      <c r="J1503" s="20">
        <f>J1500+J1502</f>
        <v>0</v>
      </c>
      <c r="K1503" s="20">
        <f>K1500+K1502</f>
        <v>0</v>
      </c>
      <c r="L1503" s="6" t="s">
        <v>441</v>
      </c>
      <c r="M1503" s="20">
        <f aca="true" t="shared" si="222" ref="M1503:X1503">M1500+M1502</f>
        <v>0</v>
      </c>
      <c r="N1503" s="20">
        <f t="shared" si="222"/>
        <v>1210</v>
      </c>
      <c r="O1503" s="23">
        <f t="shared" si="222"/>
        <v>0</v>
      </c>
      <c r="P1503" s="20">
        <f t="shared" si="222"/>
        <v>1</v>
      </c>
      <c r="Q1503" s="20">
        <f t="shared" si="222"/>
        <v>250</v>
      </c>
      <c r="R1503" s="23">
        <f t="shared" si="222"/>
        <v>409.43</v>
      </c>
      <c r="S1503" s="23">
        <f t="shared" si="222"/>
        <v>163.77200000000002</v>
      </c>
      <c r="T1503" s="23">
        <f t="shared" si="222"/>
        <v>81.88600000000001</v>
      </c>
      <c r="U1503" s="23">
        <f t="shared" si="222"/>
        <v>81.88600000000001</v>
      </c>
      <c r="V1503" s="23">
        <f t="shared" si="222"/>
        <v>81.88600000000001</v>
      </c>
      <c r="W1503" s="23">
        <f t="shared" si="222"/>
        <v>0</v>
      </c>
      <c r="X1503" s="23">
        <f t="shared" si="222"/>
        <v>0</v>
      </c>
      <c r="Y1503" s="86">
        <f t="shared" si="216"/>
        <v>409.43000000000006</v>
      </c>
    </row>
    <row r="1504" spans="1:25" ht="36" customHeight="1" hidden="1" outlineLevel="1">
      <c r="A1504" s="6" t="s">
        <v>463</v>
      </c>
      <c r="B1504" s="20">
        <f>B1397+B1399+B1401+B1408+B1413+B1415+B1417+B1422+B1424+B1426+B1433+B1438+B1443+B1450+B1455+B1457+B1459+B1464+B1466+B1468+B1473+B1475+B1477+B1484+B1489+B1491+B1496+B1498+B1503</f>
        <v>2297</v>
      </c>
      <c r="C1504" s="23">
        <f>C1397+C1399+C1401+C1408+C1413+C1415+C1417+C1422+C1424+C1426+C1433+C1438+C1443+C1450+C1455+C1457+C1459+C1464+C1466+C1468+C1473+C1475+C1477+C1484+C1489+C1491+C1496+C1498+C1503</f>
        <v>5313.510833333334</v>
      </c>
      <c r="D1504" s="20">
        <f>D1397+D1399+D1401+D1408+D1413+D1415+D1417+D1422+D1424+D1426+D1433+D1438+D1443+D1450+D1455+D1457+D1459+D1464+D1466+D1468+D1473+D1475+D1477+D1484+D1489+D1491+D1496+D1498+D1503</f>
        <v>1196</v>
      </c>
      <c r="E1504" s="23">
        <f>E1397+E1399+E1401+E1408+E1413+E1415+E1417+E1422+E1424+E1426+E1433+E1438+E1443+E1450+E1455+E1457+E1459+E1464+E1466+E1468+E1473+E1475+E1477+E1484+E1489+E1491+E1496+E1498+E1503</f>
        <v>5303.470833333333</v>
      </c>
      <c r="F1504" s="6" t="s">
        <v>453</v>
      </c>
      <c r="G1504" s="20">
        <f>G1397+G1399+G1401+G1408+G1413+G1415+G1417+G1422+G1424+G1426+G1433+G1438+G1443+G1450+G1455+G1457+G1459+G1464+G1466+G1468+G1473+G1475+G1477+G1484+G1489+G1491+G1496+G1498+G1503</f>
        <v>0</v>
      </c>
      <c r="H1504" s="20">
        <f>H1397+H1399+H1401+H1408+H1413+H1415+H1417+H1422+H1424+H1426+H1433+H1438+H1443+H1450+H1455+H1457+H1459+H1464+H1466+H1468+H1473+H1475+H1477+H1484+H1489+H1491+H1496+H1498+H1503</f>
        <v>0</v>
      </c>
      <c r="I1504" s="20" t="s">
        <v>441</v>
      </c>
      <c r="J1504" s="20">
        <f>J1397+J1399+J1401+J1408+J1413+J1415+J1417+J1422+J1424+J1426+J1433+J1438+J1443+J1450+J1455+J1457+J1459+J1464+J1466+J1468+J1473+J1475+J1477+J1484+J1489+J1491+J1496+J1498+J1503</f>
        <v>1</v>
      </c>
      <c r="K1504" s="20">
        <f>K1397+K1399+K1401+K1408+K1413+K1415+K1417+K1422+K1424+K1426+K1433+K1438+K1443+K1450+K1455+K1457+K1459+K1464+K1466+K1468+K1473+K1475+K1477+K1484+K1489+K1491+K1496+K1498+K1503</f>
        <v>10</v>
      </c>
      <c r="L1504" s="6" t="s">
        <v>453</v>
      </c>
      <c r="M1504" s="20">
        <f aca="true" t="shared" si="223" ref="M1504:X1504">M1397+M1399+M1401+M1408+M1413+M1415+M1417+M1422+M1424+M1426+M1433+M1438+M1443+M1450+M1455+M1457+M1459+M1464+M1466+M1468+M1473+M1475+M1477+M1484+M1489+M1491+M1496+M1498+M1503</f>
        <v>7810</v>
      </c>
      <c r="N1504" s="20">
        <f t="shared" si="223"/>
        <v>43600</v>
      </c>
      <c r="O1504" s="23">
        <f t="shared" si="223"/>
        <v>4976.376992753623</v>
      </c>
      <c r="P1504" s="20">
        <f t="shared" si="223"/>
        <v>36</v>
      </c>
      <c r="Q1504" s="20">
        <f t="shared" si="223"/>
        <v>4198</v>
      </c>
      <c r="R1504" s="23">
        <f t="shared" si="223"/>
        <v>9564.000791666667</v>
      </c>
      <c r="S1504" s="23">
        <f t="shared" si="223"/>
        <v>3820.3803166666667</v>
      </c>
      <c r="T1504" s="23">
        <f t="shared" si="223"/>
        <v>1910.2401583333335</v>
      </c>
      <c r="U1504" s="23">
        <f t="shared" si="223"/>
        <v>1910.2401583333335</v>
      </c>
      <c r="V1504" s="23">
        <f t="shared" si="223"/>
        <v>1910.2401583333335</v>
      </c>
      <c r="W1504" s="23">
        <f t="shared" si="223"/>
        <v>0</v>
      </c>
      <c r="X1504" s="23">
        <f t="shared" si="223"/>
        <v>13</v>
      </c>
      <c r="Y1504" s="86">
        <f t="shared" si="216"/>
        <v>9564.100791666668</v>
      </c>
    </row>
    <row r="1505" spans="1:25" ht="12.75" customHeight="1" outlineLevel="1">
      <c r="A1505" s="149" t="s">
        <v>428</v>
      </c>
      <c r="B1505" s="149"/>
      <c r="C1505" s="149"/>
      <c r="D1505" s="149"/>
      <c r="E1505" s="149"/>
      <c r="F1505" s="149"/>
      <c r="G1505" s="149"/>
      <c r="H1505" s="149"/>
      <c r="I1505" s="149"/>
      <c r="J1505" s="149"/>
      <c r="K1505" s="149"/>
      <c r="L1505" s="149"/>
      <c r="M1505" s="149"/>
      <c r="N1505" s="149"/>
      <c r="O1505" s="149"/>
      <c r="P1505" s="149"/>
      <c r="Q1505" s="149"/>
      <c r="R1505" s="149"/>
      <c r="S1505" s="149"/>
      <c r="T1505" s="149"/>
      <c r="U1505" s="149"/>
      <c r="V1505" s="149"/>
      <c r="W1505" s="149"/>
      <c r="X1505" s="149"/>
      <c r="Y1505" s="86">
        <f t="shared" si="216"/>
        <v>0</v>
      </c>
    </row>
    <row r="1506" spans="1:25" ht="12.75" customHeight="1" outlineLevel="2">
      <c r="A1506" s="160">
        <v>1</v>
      </c>
      <c r="B1506" s="159" t="s">
        <v>399</v>
      </c>
      <c r="C1506" s="159"/>
      <c r="D1506" s="159"/>
      <c r="E1506" s="159"/>
      <c r="F1506" s="159"/>
      <c r="G1506" s="159"/>
      <c r="H1506" s="159"/>
      <c r="I1506" s="159"/>
      <c r="J1506" s="159"/>
      <c r="K1506" s="159"/>
      <c r="L1506" s="159"/>
      <c r="M1506" s="159"/>
      <c r="N1506" s="159"/>
      <c r="O1506" s="159"/>
      <c r="P1506" s="159"/>
      <c r="Q1506" s="159"/>
      <c r="R1506" s="159"/>
      <c r="S1506" s="159"/>
      <c r="T1506" s="159"/>
      <c r="U1506" s="159"/>
      <c r="V1506" s="159"/>
      <c r="W1506" s="159"/>
      <c r="X1506" s="159"/>
      <c r="Y1506" s="86">
        <f t="shared" si="216"/>
        <v>0</v>
      </c>
    </row>
    <row r="1507" spans="1:25" ht="18" outlineLevel="2">
      <c r="A1507" s="160"/>
      <c r="B1507" s="39">
        <f>D1507+G1507+J1507</f>
        <v>14</v>
      </c>
      <c r="C1507" s="40">
        <f>E1507+H1507+K1507</f>
        <v>63.65333333333335</v>
      </c>
      <c r="D1507" s="39">
        <v>14</v>
      </c>
      <c r="E1507" s="16">
        <f>D1507*FORECAST(D1507,AA$8:AA$9,Z$8:Z$9)</f>
        <v>63.65333333333335</v>
      </c>
      <c r="F1507" s="39" t="s">
        <v>433</v>
      </c>
      <c r="G1507" s="39"/>
      <c r="H1507" s="39"/>
      <c r="I1507" s="39"/>
      <c r="J1507" s="39"/>
      <c r="K1507" s="39"/>
      <c r="L1507" s="39"/>
      <c r="M1507" s="39"/>
      <c r="N1507" s="39">
        <v>400</v>
      </c>
      <c r="O1507" s="16">
        <f>C1507/0.92</f>
        <v>69.18840579710147</v>
      </c>
      <c r="P1507" s="39"/>
      <c r="Q1507" s="39"/>
      <c r="R1507" s="16">
        <f>1.454*C1507</f>
        <v>92.5519466666667</v>
      </c>
      <c r="S1507" s="18">
        <f>E1507*1.454*0.4</f>
        <v>37.02077866666668</v>
      </c>
      <c r="T1507" s="18">
        <f>E1507*1.454*0.2</f>
        <v>18.51038933333334</v>
      </c>
      <c r="U1507" s="18">
        <f>E1507*1.454*0.2</f>
        <v>18.51038933333334</v>
      </c>
      <c r="V1507" s="18">
        <f>E1507*1.454*0.2</f>
        <v>18.51038933333334</v>
      </c>
      <c r="W1507" s="18">
        <f>H1507*1.454</f>
        <v>0</v>
      </c>
      <c r="X1507" s="18">
        <f>K1507*1.454</f>
        <v>0</v>
      </c>
      <c r="Y1507" s="86">
        <f t="shared" si="216"/>
        <v>92.5519466666667</v>
      </c>
    </row>
    <row r="1508" spans="1:25" ht="12.75" customHeight="1" outlineLevel="2">
      <c r="A1508" s="160">
        <v>2</v>
      </c>
      <c r="B1508" s="159" t="s">
        <v>400</v>
      </c>
      <c r="C1508" s="159"/>
      <c r="D1508" s="159"/>
      <c r="E1508" s="159"/>
      <c r="F1508" s="159"/>
      <c r="G1508" s="159"/>
      <c r="H1508" s="159"/>
      <c r="I1508" s="159"/>
      <c r="J1508" s="159"/>
      <c r="K1508" s="159"/>
      <c r="L1508" s="159"/>
      <c r="M1508" s="159"/>
      <c r="N1508" s="159"/>
      <c r="O1508" s="159"/>
      <c r="P1508" s="159"/>
      <c r="Q1508" s="159"/>
      <c r="R1508" s="159"/>
      <c r="S1508" s="159"/>
      <c r="T1508" s="159"/>
      <c r="U1508" s="159"/>
      <c r="V1508" s="159"/>
      <c r="W1508" s="159"/>
      <c r="X1508" s="159"/>
      <c r="Y1508" s="86">
        <f t="shared" si="216"/>
        <v>0</v>
      </c>
    </row>
    <row r="1509" spans="1:25" ht="12.75" customHeight="1" outlineLevel="2">
      <c r="A1509" s="160"/>
      <c r="B1509" s="39">
        <f>D1509+G1509+J1509</f>
        <v>15</v>
      </c>
      <c r="C1509" s="39">
        <f>E1509+H1509+K1509</f>
        <v>65.1</v>
      </c>
      <c r="D1509" s="39">
        <v>15</v>
      </c>
      <c r="E1509" s="16">
        <f>D1509*FORECAST(D1509,AA$9:AA$10,Z$9:Z$10)</f>
        <v>65.1</v>
      </c>
      <c r="F1509" s="39" t="s">
        <v>433</v>
      </c>
      <c r="G1509" s="39"/>
      <c r="H1509" s="39"/>
      <c r="I1509" s="39"/>
      <c r="J1509" s="39"/>
      <c r="K1509" s="39"/>
      <c r="L1509" s="39"/>
      <c r="M1509" s="39"/>
      <c r="N1509" s="39">
        <v>400</v>
      </c>
      <c r="O1509" s="16">
        <f>C1509/0.92</f>
        <v>70.76086956521738</v>
      </c>
      <c r="P1509" s="39"/>
      <c r="Q1509" s="39"/>
      <c r="R1509" s="16">
        <f>1.454*C1509</f>
        <v>94.65539999999999</v>
      </c>
      <c r="S1509" s="18">
        <f>E1509*1.454*0.4</f>
        <v>37.862159999999996</v>
      </c>
      <c r="T1509" s="18">
        <f>E1509*1.454*0.2</f>
        <v>18.931079999999998</v>
      </c>
      <c r="U1509" s="18">
        <f>E1509*1.454*0.2</f>
        <v>18.931079999999998</v>
      </c>
      <c r="V1509" s="18">
        <f>E1509*1.454*0.2</f>
        <v>18.931079999999998</v>
      </c>
      <c r="W1509" s="18">
        <f>H1509*1.454</f>
        <v>0</v>
      </c>
      <c r="X1509" s="18">
        <f>K1509*1.454</f>
        <v>0</v>
      </c>
      <c r="Y1509" s="86">
        <f t="shared" si="216"/>
        <v>94.65539999999999</v>
      </c>
    </row>
    <row r="1510" spans="1:25" ht="36" outlineLevel="2">
      <c r="A1510" s="6" t="s">
        <v>431</v>
      </c>
      <c r="B1510" s="20">
        <f>B1507+B1509</f>
        <v>29</v>
      </c>
      <c r="C1510" s="23">
        <f>C1507+C1509</f>
        <v>128.75333333333333</v>
      </c>
      <c r="D1510" s="20">
        <f>D1507+D1509</f>
        <v>29</v>
      </c>
      <c r="E1510" s="23">
        <f>E1507+E1509</f>
        <v>128.75333333333333</v>
      </c>
      <c r="F1510" s="6" t="s">
        <v>433</v>
      </c>
      <c r="G1510" s="20">
        <f>G1507+G1509</f>
        <v>0</v>
      </c>
      <c r="H1510" s="20">
        <f>H1507+H1509</f>
        <v>0</v>
      </c>
      <c r="I1510" s="20" t="s">
        <v>441</v>
      </c>
      <c r="J1510" s="20">
        <f>J1507+J1509</f>
        <v>0</v>
      </c>
      <c r="K1510" s="20">
        <f>K1507+K1509</f>
        <v>0</v>
      </c>
      <c r="L1510" s="6" t="s">
        <v>441</v>
      </c>
      <c r="M1510" s="20">
        <f aca="true" t="shared" si="224" ref="M1510:X1510">M1507+M1509</f>
        <v>0</v>
      </c>
      <c r="N1510" s="20">
        <f t="shared" si="224"/>
        <v>800</v>
      </c>
      <c r="O1510" s="20">
        <f t="shared" si="224"/>
        <v>139.94927536231884</v>
      </c>
      <c r="P1510" s="20">
        <f t="shared" si="224"/>
        <v>0</v>
      </c>
      <c r="Q1510" s="20">
        <f t="shared" si="224"/>
        <v>0</v>
      </c>
      <c r="R1510" s="23">
        <f t="shared" si="224"/>
        <v>187.2073466666667</v>
      </c>
      <c r="S1510" s="23">
        <f t="shared" si="224"/>
        <v>74.88293866666667</v>
      </c>
      <c r="T1510" s="23">
        <f t="shared" si="224"/>
        <v>37.44146933333334</v>
      </c>
      <c r="U1510" s="23">
        <f t="shared" si="224"/>
        <v>37.44146933333334</v>
      </c>
      <c r="V1510" s="23">
        <f t="shared" si="224"/>
        <v>37.44146933333334</v>
      </c>
      <c r="W1510" s="23">
        <f t="shared" si="224"/>
        <v>0</v>
      </c>
      <c r="X1510" s="23">
        <f t="shared" si="224"/>
        <v>0</v>
      </c>
      <c r="Y1510" s="86">
        <f t="shared" si="216"/>
        <v>187.2073466666667</v>
      </c>
    </row>
    <row r="1511" spans="1:25" ht="12.75" customHeight="1" outlineLevel="2">
      <c r="A1511" s="160">
        <v>1</v>
      </c>
      <c r="B1511" s="159" t="s">
        <v>401</v>
      </c>
      <c r="C1511" s="159"/>
      <c r="D1511" s="159"/>
      <c r="E1511" s="159"/>
      <c r="F1511" s="159"/>
      <c r="G1511" s="159"/>
      <c r="H1511" s="159"/>
      <c r="I1511" s="159"/>
      <c r="J1511" s="159"/>
      <c r="K1511" s="159"/>
      <c r="L1511" s="159"/>
      <c r="M1511" s="159"/>
      <c r="N1511" s="159"/>
      <c r="O1511" s="159"/>
      <c r="P1511" s="159"/>
      <c r="Q1511" s="159"/>
      <c r="R1511" s="159"/>
      <c r="S1511" s="159"/>
      <c r="T1511" s="159"/>
      <c r="U1511" s="159"/>
      <c r="V1511" s="159"/>
      <c r="W1511" s="159"/>
      <c r="X1511" s="159"/>
      <c r="Y1511" s="86">
        <f t="shared" si="216"/>
        <v>0</v>
      </c>
    </row>
    <row r="1512" spans="1:25" ht="12.75" customHeight="1" outlineLevel="2">
      <c r="A1512" s="160"/>
      <c r="B1512" s="39">
        <f>D1512+G1512+J1512</f>
        <v>14</v>
      </c>
      <c r="C1512" s="40">
        <f>E1512+H1512+K1512</f>
        <v>63.65333333333335</v>
      </c>
      <c r="D1512" s="39">
        <v>14</v>
      </c>
      <c r="E1512" s="16">
        <f>D1512*FORECAST(D1512,AA$8:AA$9,Z$8:Z$9)</f>
        <v>63.65333333333335</v>
      </c>
      <c r="F1512" s="39" t="s">
        <v>433</v>
      </c>
      <c r="G1512" s="39"/>
      <c r="H1512" s="39"/>
      <c r="I1512" s="39"/>
      <c r="J1512" s="39"/>
      <c r="K1512" s="39"/>
      <c r="L1512" s="39"/>
      <c r="M1512" s="39">
        <v>500</v>
      </c>
      <c r="N1512" s="39">
        <v>400</v>
      </c>
      <c r="O1512" s="16">
        <f>C1512/0.92</f>
        <v>69.18840579710147</v>
      </c>
      <c r="P1512" s="39">
        <v>1</v>
      </c>
      <c r="Q1512" s="39">
        <v>100</v>
      </c>
      <c r="R1512" s="16">
        <f>1.454*C1512</f>
        <v>92.5519466666667</v>
      </c>
      <c r="S1512" s="18">
        <f>E1512*1.454*0.4</f>
        <v>37.02077866666668</v>
      </c>
      <c r="T1512" s="18">
        <f>E1512*1.454*0.2</f>
        <v>18.51038933333334</v>
      </c>
      <c r="U1512" s="18">
        <f>E1512*1.454*0.2</f>
        <v>18.51038933333334</v>
      </c>
      <c r="V1512" s="18">
        <f>E1512*1.454*0.2</f>
        <v>18.51038933333334</v>
      </c>
      <c r="W1512" s="18">
        <f>H1512*1.454</f>
        <v>0</v>
      </c>
      <c r="X1512" s="18">
        <f>K1512*1.454</f>
        <v>0</v>
      </c>
      <c r="Y1512" s="86">
        <f t="shared" si="216"/>
        <v>92.5519466666667</v>
      </c>
    </row>
    <row r="1513" spans="1:25" ht="12.75" customHeight="1" outlineLevel="2">
      <c r="A1513" s="160">
        <v>1</v>
      </c>
      <c r="B1513" s="159" t="s">
        <v>402</v>
      </c>
      <c r="C1513" s="159"/>
      <c r="D1513" s="159"/>
      <c r="E1513" s="159"/>
      <c r="F1513" s="159"/>
      <c r="G1513" s="159"/>
      <c r="H1513" s="159"/>
      <c r="I1513" s="159"/>
      <c r="J1513" s="159"/>
      <c r="K1513" s="159"/>
      <c r="L1513" s="159"/>
      <c r="M1513" s="159"/>
      <c r="N1513" s="159"/>
      <c r="O1513" s="159"/>
      <c r="P1513" s="159"/>
      <c r="Q1513" s="159"/>
      <c r="R1513" s="159"/>
      <c r="S1513" s="159"/>
      <c r="T1513" s="159"/>
      <c r="U1513" s="159"/>
      <c r="V1513" s="159"/>
      <c r="W1513" s="159"/>
      <c r="X1513" s="159"/>
      <c r="Y1513" s="86">
        <f t="shared" si="216"/>
        <v>0</v>
      </c>
    </row>
    <row r="1514" spans="1:25" ht="12.75" customHeight="1" outlineLevel="2">
      <c r="A1514" s="160"/>
      <c r="B1514" s="39">
        <f>D1514+G1514+J1514</f>
        <v>33</v>
      </c>
      <c r="C1514" s="40">
        <f>E1514+H1514+K1514</f>
        <v>97.74187500000001</v>
      </c>
      <c r="D1514" s="39">
        <v>33</v>
      </c>
      <c r="E1514" s="16">
        <f>D1514*FORECAST(D1514,AA$11:AA$12,Z$11:Z$12)</f>
        <v>97.74187500000001</v>
      </c>
      <c r="F1514" s="39" t="s">
        <v>433</v>
      </c>
      <c r="G1514" s="39"/>
      <c r="H1514" s="39"/>
      <c r="I1514" s="39"/>
      <c r="J1514" s="39"/>
      <c r="K1514" s="39"/>
      <c r="L1514" s="39"/>
      <c r="M1514" s="39">
        <v>160</v>
      </c>
      <c r="N1514" s="39">
        <v>620</v>
      </c>
      <c r="O1514" s="16">
        <f>C1514/0.92</f>
        <v>106.24116847826087</v>
      </c>
      <c r="P1514" s="39">
        <v>1</v>
      </c>
      <c r="Q1514" s="39">
        <v>100</v>
      </c>
      <c r="R1514" s="16">
        <f>1.454*C1514</f>
        <v>142.11668625000001</v>
      </c>
      <c r="S1514" s="18">
        <f>E1514*1.454*0.4</f>
        <v>56.846674500000006</v>
      </c>
      <c r="T1514" s="18">
        <f>E1514*1.454*0.2</f>
        <v>28.423337250000003</v>
      </c>
      <c r="U1514" s="18">
        <f>E1514*1.454*0.2</f>
        <v>28.423337250000003</v>
      </c>
      <c r="V1514" s="18">
        <f>E1514*1.454*0.2</f>
        <v>28.423337250000003</v>
      </c>
      <c r="W1514" s="18">
        <f>H1514*1.454</f>
        <v>0</v>
      </c>
      <c r="X1514" s="18">
        <f>K1514*1.454</f>
        <v>0</v>
      </c>
      <c r="Y1514" s="86">
        <f t="shared" si="216"/>
        <v>142.11668625000001</v>
      </c>
    </row>
    <row r="1515" spans="1:25" ht="12.75" customHeight="1" outlineLevel="2">
      <c r="A1515" s="160">
        <v>1</v>
      </c>
      <c r="B1515" s="159" t="s">
        <v>403</v>
      </c>
      <c r="C1515" s="159"/>
      <c r="D1515" s="159"/>
      <c r="E1515" s="159"/>
      <c r="F1515" s="159"/>
      <c r="G1515" s="159"/>
      <c r="H1515" s="159"/>
      <c r="I1515" s="159"/>
      <c r="J1515" s="159"/>
      <c r="K1515" s="159"/>
      <c r="L1515" s="159"/>
      <c r="M1515" s="159"/>
      <c r="N1515" s="159"/>
      <c r="O1515" s="159"/>
      <c r="P1515" s="159"/>
      <c r="Q1515" s="159"/>
      <c r="R1515" s="159"/>
      <c r="S1515" s="159"/>
      <c r="T1515" s="159"/>
      <c r="U1515" s="159"/>
      <c r="V1515" s="159"/>
      <c r="W1515" s="159"/>
      <c r="X1515" s="159"/>
      <c r="Y1515" s="86">
        <f t="shared" si="216"/>
        <v>0</v>
      </c>
    </row>
    <row r="1516" spans="1:25" ht="12.75" customHeight="1" outlineLevel="2">
      <c r="A1516" s="160"/>
      <c r="B1516" s="39">
        <f>D1516+G1516+J1516</f>
        <v>40</v>
      </c>
      <c r="C1516" s="40">
        <f>E1516+H1516+K1516</f>
        <v>106.4</v>
      </c>
      <c r="D1516" s="39">
        <v>40</v>
      </c>
      <c r="E1516" s="16">
        <f>D1516*FORECAST(D1516,AA$11:AA$12,Z$11:Z$12)</f>
        <v>106.4</v>
      </c>
      <c r="F1516" s="39" t="s">
        <v>453</v>
      </c>
      <c r="G1516" s="39"/>
      <c r="H1516" s="39"/>
      <c r="I1516" s="39"/>
      <c r="J1516" s="39"/>
      <c r="K1516" s="39"/>
      <c r="L1516" s="39"/>
      <c r="M1516" s="39">
        <v>1120</v>
      </c>
      <c r="N1516" s="39">
        <v>2100</v>
      </c>
      <c r="O1516" s="16">
        <f>C1516/0.92</f>
        <v>115.65217391304348</v>
      </c>
      <c r="P1516" s="39">
        <v>1</v>
      </c>
      <c r="Q1516" s="39">
        <v>160</v>
      </c>
      <c r="R1516" s="16">
        <f>1.454*C1516</f>
        <v>154.7056</v>
      </c>
      <c r="S1516" s="18">
        <f>E1516*1.454*0.4</f>
        <v>61.88224</v>
      </c>
      <c r="T1516" s="18">
        <f>E1516*1.454*0.2</f>
        <v>30.94112</v>
      </c>
      <c r="U1516" s="18">
        <f>E1516*1.454*0.2</f>
        <v>30.94112</v>
      </c>
      <c r="V1516" s="18">
        <f>E1516*1.454*0.2</f>
        <v>30.94112</v>
      </c>
      <c r="W1516" s="18">
        <f>H1516*1.454</f>
        <v>0</v>
      </c>
      <c r="X1516" s="18">
        <f>K1516*1.454</f>
        <v>0</v>
      </c>
      <c r="Y1516" s="86">
        <f t="shared" si="216"/>
        <v>154.7056</v>
      </c>
    </row>
    <row r="1517" spans="1:25" ht="12.75" customHeight="1" outlineLevel="2">
      <c r="A1517" s="160">
        <v>1</v>
      </c>
      <c r="B1517" s="159" t="s">
        <v>404</v>
      </c>
      <c r="C1517" s="159"/>
      <c r="D1517" s="159"/>
      <c r="E1517" s="159"/>
      <c r="F1517" s="159"/>
      <c r="G1517" s="159"/>
      <c r="H1517" s="159"/>
      <c r="I1517" s="159"/>
      <c r="J1517" s="159"/>
      <c r="K1517" s="159"/>
      <c r="L1517" s="159"/>
      <c r="M1517" s="159"/>
      <c r="N1517" s="159"/>
      <c r="O1517" s="159"/>
      <c r="P1517" s="159"/>
      <c r="Q1517" s="159"/>
      <c r="R1517" s="159"/>
      <c r="S1517" s="159"/>
      <c r="T1517" s="159"/>
      <c r="U1517" s="159"/>
      <c r="V1517" s="159"/>
      <c r="W1517" s="159"/>
      <c r="X1517" s="159"/>
      <c r="Y1517" s="86">
        <f t="shared" si="216"/>
        <v>0</v>
      </c>
    </row>
    <row r="1518" spans="1:25" ht="18" customHeight="1" outlineLevel="2">
      <c r="A1518" s="160"/>
      <c r="B1518" s="39">
        <f>D1518+G1518+J1518</f>
        <v>20</v>
      </c>
      <c r="C1518" s="40">
        <f>E1518+H1518+K1518</f>
        <v>74.6</v>
      </c>
      <c r="D1518" s="39">
        <v>20</v>
      </c>
      <c r="E1518" s="16">
        <f>D1518*FORECAST(D1518,AA$10:AA$11,Z$10:Z$11)</f>
        <v>74.6</v>
      </c>
      <c r="F1518" s="39" t="s">
        <v>453</v>
      </c>
      <c r="G1518" s="39"/>
      <c r="H1518" s="39"/>
      <c r="I1518" s="39"/>
      <c r="J1518" s="39"/>
      <c r="K1518" s="39"/>
      <c r="L1518" s="39"/>
      <c r="M1518" s="39">
        <v>100</v>
      </c>
      <c r="N1518" s="39">
        <v>2000</v>
      </c>
      <c r="O1518" s="16">
        <f>C1518/0.92</f>
        <v>81.08695652173913</v>
      </c>
      <c r="P1518" s="39">
        <v>1</v>
      </c>
      <c r="Q1518" s="39">
        <v>100</v>
      </c>
      <c r="R1518" s="16">
        <f>1.454*C1518</f>
        <v>108.46839999999999</v>
      </c>
      <c r="S1518" s="18">
        <f>E1518*1.454*0.4</f>
        <v>43.38736</v>
      </c>
      <c r="T1518" s="18">
        <f>E1518*1.454*0.2</f>
        <v>21.69368</v>
      </c>
      <c r="U1518" s="18">
        <f>E1518*1.454*0.2</f>
        <v>21.69368</v>
      </c>
      <c r="V1518" s="18">
        <f>E1518*1.454*0.2</f>
        <v>21.69368</v>
      </c>
      <c r="W1518" s="18">
        <f>H1518*1.454</f>
        <v>0</v>
      </c>
      <c r="X1518" s="18">
        <f>K1518*1.454</f>
        <v>0</v>
      </c>
      <c r="Y1518" s="86">
        <f aca="true" t="shared" si="225" ref="Y1518:Y1543">S1518+T1518+U1518+V1518+X1518</f>
        <v>108.4684</v>
      </c>
    </row>
    <row r="1519" spans="1:25" ht="12.75" customHeight="1" outlineLevel="2">
      <c r="A1519" s="160">
        <v>1</v>
      </c>
      <c r="B1519" s="159" t="s">
        <v>405</v>
      </c>
      <c r="C1519" s="159"/>
      <c r="D1519" s="159"/>
      <c r="E1519" s="159"/>
      <c r="F1519" s="159"/>
      <c r="G1519" s="159"/>
      <c r="H1519" s="159"/>
      <c r="I1519" s="159"/>
      <c r="J1519" s="159"/>
      <c r="K1519" s="159"/>
      <c r="L1519" s="159"/>
      <c r="M1519" s="159"/>
      <c r="N1519" s="159"/>
      <c r="O1519" s="159"/>
      <c r="P1519" s="159"/>
      <c r="Q1519" s="159"/>
      <c r="R1519" s="159"/>
      <c r="S1519" s="159"/>
      <c r="T1519" s="159"/>
      <c r="U1519" s="159"/>
      <c r="V1519" s="159"/>
      <c r="W1519" s="159"/>
      <c r="X1519" s="159"/>
      <c r="Y1519" s="86">
        <f t="shared" si="225"/>
        <v>0</v>
      </c>
    </row>
    <row r="1520" spans="1:25" ht="18" outlineLevel="2">
      <c r="A1520" s="160"/>
      <c r="B1520" s="39">
        <f>D1520+G1520+J1520</f>
        <v>18</v>
      </c>
      <c r="C1520" s="40">
        <f>E1520+H1520+K1520</f>
        <v>70.56</v>
      </c>
      <c r="D1520" s="39">
        <v>18</v>
      </c>
      <c r="E1520" s="16">
        <f>D1520*FORECAST(D1520,AA$9:AA$10,Z$9:Z$10)</f>
        <v>70.56</v>
      </c>
      <c r="F1520" s="39" t="s">
        <v>453</v>
      </c>
      <c r="G1520" s="39"/>
      <c r="H1520" s="39"/>
      <c r="I1520" s="39"/>
      <c r="J1520" s="39"/>
      <c r="K1520" s="39"/>
      <c r="L1520" s="39"/>
      <c r="M1520" s="39">
        <v>40</v>
      </c>
      <c r="N1520" s="39">
        <v>500</v>
      </c>
      <c r="O1520" s="16">
        <f>C1520/0.92</f>
        <v>76.69565217391305</v>
      </c>
      <c r="P1520" s="39">
        <v>1</v>
      </c>
      <c r="Q1520" s="39">
        <v>100</v>
      </c>
      <c r="R1520" s="16">
        <f>1.454*C1520</f>
        <v>102.59424</v>
      </c>
      <c r="S1520" s="18">
        <f>E1520*1.454*0.4</f>
        <v>41.037696000000004</v>
      </c>
      <c r="T1520" s="18">
        <f>E1520*1.454*0.2</f>
        <v>20.518848000000002</v>
      </c>
      <c r="U1520" s="18">
        <f>E1520*1.454*0.2</f>
        <v>20.518848000000002</v>
      </c>
      <c r="V1520" s="18">
        <f>E1520*1.454*0.2</f>
        <v>20.518848000000002</v>
      </c>
      <c r="W1520" s="18">
        <f>H1520*1.454</f>
        <v>0</v>
      </c>
      <c r="X1520" s="18">
        <f>K1520*1.454</f>
        <v>0</v>
      </c>
      <c r="Y1520" s="86">
        <f t="shared" si="225"/>
        <v>102.59424000000001</v>
      </c>
    </row>
    <row r="1521" spans="1:25" ht="12.75" customHeight="1" outlineLevel="2">
      <c r="A1521" s="160">
        <v>1</v>
      </c>
      <c r="B1521" s="159" t="s">
        <v>406</v>
      </c>
      <c r="C1521" s="159"/>
      <c r="D1521" s="159"/>
      <c r="E1521" s="159"/>
      <c r="F1521" s="159"/>
      <c r="G1521" s="159"/>
      <c r="H1521" s="159"/>
      <c r="I1521" s="159"/>
      <c r="J1521" s="159"/>
      <c r="K1521" s="159"/>
      <c r="L1521" s="159"/>
      <c r="M1521" s="159"/>
      <c r="N1521" s="159"/>
      <c r="O1521" s="159"/>
      <c r="P1521" s="159"/>
      <c r="Q1521" s="159"/>
      <c r="R1521" s="159"/>
      <c r="S1521" s="159"/>
      <c r="T1521" s="159"/>
      <c r="U1521" s="159"/>
      <c r="V1521" s="159"/>
      <c r="W1521" s="159"/>
      <c r="X1521" s="159"/>
      <c r="Y1521" s="86">
        <f t="shared" si="225"/>
        <v>0</v>
      </c>
    </row>
    <row r="1522" spans="1:25" ht="18" outlineLevel="2">
      <c r="A1522" s="160"/>
      <c r="B1522" s="39">
        <f>D1522+G1522+J1522</f>
        <v>60</v>
      </c>
      <c r="C1522" s="39">
        <f>E1522+H1522+K1522</f>
        <v>142.79999999999998</v>
      </c>
      <c r="D1522" s="39">
        <v>60</v>
      </c>
      <c r="E1522" s="16">
        <f>D1522*FORECAST(D1522,AA$12:AA$13,Z$12:Z$13)</f>
        <v>142.79999999999998</v>
      </c>
      <c r="F1522" s="39" t="s">
        <v>433</v>
      </c>
      <c r="G1522" s="39"/>
      <c r="H1522" s="39"/>
      <c r="I1522" s="39"/>
      <c r="J1522" s="39"/>
      <c r="K1522" s="39"/>
      <c r="L1522" s="39"/>
      <c r="M1522" s="39">
        <v>100</v>
      </c>
      <c r="N1522" s="39">
        <v>1500</v>
      </c>
      <c r="O1522" s="16">
        <f>C1522/0.92</f>
        <v>155.2173913043478</v>
      </c>
      <c r="P1522" s="39">
        <v>1</v>
      </c>
      <c r="Q1522" s="39">
        <v>160</v>
      </c>
      <c r="R1522" s="16">
        <f>1.454*C1522</f>
        <v>207.63119999999998</v>
      </c>
      <c r="S1522" s="18">
        <f>E1522*1.454*0.4</f>
        <v>83.05248</v>
      </c>
      <c r="T1522" s="18">
        <f>E1522*1.454*0.2</f>
        <v>41.52624</v>
      </c>
      <c r="U1522" s="18">
        <f>E1522*1.454*0.2</f>
        <v>41.52624</v>
      </c>
      <c r="V1522" s="18">
        <f>E1522*1.454*0.2</f>
        <v>41.52624</v>
      </c>
      <c r="W1522" s="18">
        <f>H1522*1.454</f>
        <v>0</v>
      </c>
      <c r="X1522" s="18">
        <f>K1522*1.454</f>
        <v>0</v>
      </c>
      <c r="Y1522" s="86">
        <f t="shared" si="225"/>
        <v>207.6312</v>
      </c>
    </row>
    <row r="1523" spans="1:25" ht="12.75" customHeight="1" outlineLevel="2">
      <c r="A1523" s="160">
        <v>1</v>
      </c>
      <c r="B1523" s="159" t="s">
        <v>407</v>
      </c>
      <c r="C1523" s="159"/>
      <c r="D1523" s="159"/>
      <c r="E1523" s="159"/>
      <c r="F1523" s="159"/>
      <c r="G1523" s="159"/>
      <c r="H1523" s="159"/>
      <c r="I1523" s="159"/>
      <c r="J1523" s="159"/>
      <c r="K1523" s="159"/>
      <c r="L1523" s="159"/>
      <c r="M1523" s="159"/>
      <c r="N1523" s="159"/>
      <c r="O1523" s="159"/>
      <c r="P1523" s="159"/>
      <c r="Q1523" s="159"/>
      <c r="R1523" s="159"/>
      <c r="S1523" s="159"/>
      <c r="T1523" s="159"/>
      <c r="U1523" s="159"/>
      <c r="V1523" s="159"/>
      <c r="W1523" s="159"/>
      <c r="X1523" s="159"/>
      <c r="Y1523" s="86">
        <f t="shared" si="225"/>
        <v>0</v>
      </c>
    </row>
    <row r="1524" spans="1:25" ht="18" outlineLevel="2">
      <c r="A1524" s="160"/>
      <c r="B1524" s="39">
        <f>D1524+G1524+J1524</f>
        <v>6</v>
      </c>
      <c r="C1524" s="40">
        <f>E1524+H1524+K1524</f>
        <v>42.35999999999999</v>
      </c>
      <c r="D1524" s="39">
        <v>6</v>
      </c>
      <c r="E1524" s="16">
        <f>D1524*FORECAST(D1524,AA$6:AA$7,Z$6:Z$7)</f>
        <v>42.35999999999999</v>
      </c>
      <c r="F1524" s="39" t="s">
        <v>433</v>
      </c>
      <c r="G1524" s="39"/>
      <c r="H1524" s="39"/>
      <c r="I1524" s="39"/>
      <c r="J1524" s="39"/>
      <c r="K1524" s="39"/>
      <c r="L1524" s="39"/>
      <c r="M1524" s="39">
        <v>200</v>
      </c>
      <c r="N1524" s="39">
        <v>800</v>
      </c>
      <c r="O1524" s="16">
        <f>C1524/0.92</f>
        <v>46.043478260869556</v>
      </c>
      <c r="P1524" s="39">
        <v>1</v>
      </c>
      <c r="Q1524" s="39">
        <v>100</v>
      </c>
      <c r="R1524" s="16">
        <f>1.454*C1524</f>
        <v>61.591439999999984</v>
      </c>
      <c r="S1524" s="18">
        <f>E1524*1.454*0.4</f>
        <v>24.636575999999994</v>
      </c>
      <c r="T1524" s="18">
        <f>E1524*1.454*0.2</f>
        <v>12.318287999999997</v>
      </c>
      <c r="U1524" s="18">
        <f>E1524*1.454*0.2</f>
        <v>12.318287999999997</v>
      </c>
      <c r="V1524" s="18">
        <f>E1524*1.454*0.2</f>
        <v>12.318287999999997</v>
      </c>
      <c r="W1524" s="18">
        <f>H1524*1.454</f>
        <v>0</v>
      </c>
      <c r="X1524" s="18">
        <f>K1524*1.454</f>
        <v>0</v>
      </c>
      <c r="Y1524" s="86">
        <f t="shared" si="225"/>
        <v>61.591439999999984</v>
      </c>
    </row>
    <row r="1525" spans="1:25" ht="12.75" customHeight="1" outlineLevel="2">
      <c r="A1525" s="160">
        <v>1</v>
      </c>
      <c r="B1525" s="159" t="s">
        <v>408</v>
      </c>
      <c r="C1525" s="159"/>
      <c r="D1525" s="159"/>
      <c r="E1525" s="159"/>
      <c r="F1525" s="159"/>
      <c r="G1525" s="159"/>
      <c r="H1525" s="159"/>
      <c r="I1525" s="159"/>
      <c r="J1525" s="159"/>
      <c r="K1525" s="159"/>
      <c r="L1525" s="159"/>
      <c r="M1525" s="159"/>
      <c r="N1525" s="159"/>
      <c r="O1525" s="159"/>
      <c r="P1525" s="159"/>
      <c r="Q1525" s="159"/>
      <c r="R1525" s="159"/>
      <c r="S1525" s="159"/>
      <c r="T1525" s="159"/>
      <c r="U1525" s="159"/>
      <c r="V1525" s="159"/>
      <c r="W1525" s="159"/>
      <c r="X1525" s="159"/>
      <c r="Y1525" s="86">
        <f t="shared" si="225"/>
        <v>0</v>
      </c>
    </row>
    <row r="1526" spans="1:25" ht="12.75" customHeight="1" outlineLevel="2">
      <c r="A1526" s="160"/>
      <c r="B1526" s="39">
        <f>D1526+G1526+J1526</f>
        <v>27</v>
      </c>
      <c r="C1526" s="40">
        <v>135</v>
      </c>
      <c r="D1526" s="39">
        <v>27</v>
      </c>
      <c r="E1526" s="16">
        <v>135</v>
      </c>
      <c r="F1526" s="39" t="s">
        <v>433</v>
      </c>
      <c r="G1526" s="39"/>
      <c r="H1526" s="39"/>
      <c r="I1526" s="39"/>
      <c r="J1526" s="39"/>
      <c r="K1526" s="39"/>
      <c r="L1526" s="39"/>
      <c r="M1526" s="39"/>
      <c r="N1526" s="39">
        <v>1000</v>
      </c>
      <c r="O1526" s="16">
        <v>160</v>
      </c>
      <c r="P1526" s="39">
        <v>1</v>
      </c>
      <c r="Q1526" s="39">
        <v>160</v>
      </c>
      <c r="R1526" s="16">
        <v>230</v>
      </c>
      <c r="S1526" s="18">
        <f>R1526*0.4</f>
        <v>92</v>
      </c>
      <c r="T1526" s="18">
        <f>R1526*0.2</f>
        <v>46</v>
      </c>
      <c r="U1526" s="18">
        <f>R1526*0.2</f>
        <v>46</v>
      </c>
      <c r="V1526" s="18">
        <f>R1526*0.2</f>
        <v>46</v>
      </c>
      <c r="W1526" s="18">
        <f>H1526*1.454</f>
        <v>0</v>
      </c>
      <c r="X1526" s="18">
        <f>K1526*1.454</f>
        <v>0</v>
      </c>
      <c r="Y1526" s="86">
        <f t="shared" si="225"/>
        <v>230</v>
      </c>
    </row>
    <row r="1527" spans="1:25" ht="36" hidden="1" outlineLevel="1">
      <c r="A1527" s="6" t="s">
        <v>464</v>
      </c>
      <c r="B1527" s="20">
        <f>B1510+B1512+B1514+B1516+B1518+B1520+B1522+B1524+B1526</f>
        <v>247</v>
      </c>
      <c r="C1527" s="23">
        <f>C1510+C1512+C1514+C1516+C1518+C1520+C1522+C1524+C1526</f>
        <v>861.8685416666666</v>
      </c>
      <c r="D1527" s="20">
        <f>D1510+D1512+D1514+D1516+D1518+D1520+D1522+D1524+D1526</f>
        <v>247</v>
      </c>
      <c r="E1527" s="23">
        <f>E1510+E1512+E1514+E1516+E1518+E1520+E1522+E1524+E1526</f>
        <v>861.8685416666666</v>
      </c>
      <c r="F1527" s="6" t="s">
        <v>433</v>
      </c>
      <c r="G1527" s="20">
        <f>G1510+G1512+G1514+G1516+G1518+G1520+G1522+G1524+G1526</f>
        <v>0</v>
      </c>
      <c r="H1527" s="20">
        <f>H1510+H1512+H1514+H1516+H1518+H1520+H1522+H1524+H1526</f>
        <v>0</v>
      </c>
      <c r="I1527" s="20" t="s">
        <v>441</v>
      </c>
      <c r="J1527" s="20">
        <f>J1510+J1512+J1514+J1516+J1518+J1520+J1522+J1524+J1526</f>
        <v>0</v>
      </c>
      <c r="K1527" s="20">
        <f>K1510+K1512+K1514+K1516+K1518+K1520+K1522+K1524+K1526</f>
        <v>0</v>
      </c>
      <c r="L1527" s="6" t="s">
        <v>441</v>
      </c>
      <c r="M1527" s="20">
        <f aca="true" t="shared" si="226" ref="M1527:X1527">M1510+M1512+M1514+M1516+M1518+M1520+M1522+M1524+M1526</f>
        <v>2220</v>
      </c>
      <c r="N1527" s="20">
        <f t="shared" si="226"/>
        <v>9720</v>
      </c>
      <c r="O1527" s="23">
        <f t="shared" si="226"/>
        <v>950.074501811594</v>
      </c>
      <c r="P1527" s="20">
        <f t="shared" si="226"/>
        <v>8</v>
      </c>
      <c r="Q1527" s="20">
        <f t="shared" si="226"/>
        <v>980</v>
      </c>
      <c r="R1527" s="23">
        <f t="shared" si="226"/>
        <v>1286.8668595833333</v>
      </c>
      <c r="S1527" s="23">
        <f t="shared" si="226"/>
        <v>514.7467438333333</v>
      </c>
      <c r="T1527" s="23">
        <f t="shared" si="226"/>
        <v>257.37337191666666</v>
      </c>
      <c r="U1527" s="23">
        <f t="shared" si="226"/>
        <v>257.37337191666666</v>
      </c>
      <c r="V1527" s="23">
        <f t="shared" si="226"/>
        <v>257.37337191666666</v>
      </c>
      <c r="W1527" s="23">
        <f t="shared" si="226"/>
        <v>0</v>
      </c>
      <c r="X1527" s="23">
        <f t="shared" si="226"/>
        <v>0</v>
      </c>
      <c r="Y1527" s="86">
        <f t="shared" si="225"/>
        <v>1286.8668595833333</v>
      </c>
    </row>
    <row r="1528" spans="1:25" ht="12.75" customHeight="1" hidden="1" outlineLevel="1">
      <c r="A1528" s="161" t="s">
        <v>429</v>
      </c>
      <c r="B1528" s="161"/>
      <c r="C1528" s="161"/>
      <c r="D1528" s="161"/>
      <c r="E1528" s="161"/>
      <c r="F1528" s="161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86">
        <f t="shared" si="225"/>
        <v>0</v>
      </c>
    </row>
    <row r="1529" spans="1:25" ht="12.75" customHeight="1" outlineLevel="2">
      <c r="A1529" s="160">
        <v>1</v>
      </c>
      <c r="B1529" s="159" t="s">
        <v>409</v>
      </c>
      <c r="C1529" s="159"/>
      <c r="D1529" s="159"/>
      <c r="E1529" s="159"/>
      <c r="F1529" s="159"/>
      <c r="G1529" s="159"/>
      <c r="H1529" s="159"/>
      <c r="I1529" s="159"/>
      <c r="J1529" s="159"/>
      <c r="K1529" s="159"/>
      <c r="L1529" s="159"/>
      <c r="M1529" s="159"/>
      <c r="N1529" s="159"/>
      <c r="O1529" s="159"/>
      <c r="P1529" s="159"/>
      <c r="Q1529" s="159"/>
      <c r="R1529" s="159"/>
      <c r="S1529" s="159"/>
      <c r="T1529" s="159"/>
      <c r="U1529" s="159"/>
      <c r="V1529" s="159"/>
      <c r="W1529" s="159"/>
      <c r="X1529" s="159"/>
      <c r="Y1529" s="86">
        <f t="shared" si="225"/>
        <v>0</v>
      </c>
    </row>
    <row r="1530" spans="1:25" ht="18" outlineLevel="2">
      <c r="A1530" s="160"/>
      <c r="B1530" s="39">
        <f>D1530+G1530+J1530</f>
        <v>25</v>
      </c>
      <c r="C1530" s="40">
        <f>E1530+H1530+K1530</f>
        <v>82.671875</v>
      </c>
      <c r="D1530" s="39">
        <v>25</v>
      </c>
      <c r="E1530" s="16">
        <f>D1530*FORECAST(D1530,AA$11:AA$12,Z$11:Z$12)</f>
        <v>82.671875</v>
      </c>
      <c r="F1530" s="39" t="s">
        <v>433</v>
      </c>
      <c r="G1530" s="39"/>
      <c r="H1530" s="39"/>
      <c r="I1530" s="39"/>
      <c r="J1530" s="39"/>
      <c r="K1530" s="39"/>
      <c r="L1530" s="39"/>
      <c r="M1530" s="39">
        <v>400</v>
      </c>
      <c r="N1530" s="39">
        <v>800</v>
      </c>
      <c r="O1530" s="16">
        <f>C1530/0.92</f>
        <v>89.86073369565217</v>
      </c>
      <c r="P1530" s="39">
        <v>1</v>
      </c>
      <c r="Q1530" s="39">
        <v>100</v>
      </c>
      <c r="R1530" s="16">
        <f>1.454*C1530</f>
        <v>120.20490625</v>
      </c>
      <c r="S1530" s="18">
        <f>E1530*1.454*0.4</f>
        <v>48.0819625</v>
      </c>
      <c r="T1530" s="18">
        <f>E1530*1.454*0.2</f>
        <v>24.04098125</v>
      </c>
      <c r="U1530" s="18">
        <f>E1530*1.454*0.2</f>
        <v>24.04098125</v>
      </c>
      <c r="V1530" s="18">
        <f>E1530*1.454*0.2</f>
        <v>24.04098125</v>
      </c>
      <c r="W1530" s="18">
        <f>H1530*1.454</f>
        <v>0</v>
      </c>
      <c r="X1530" s="18">
        <f>K1530*1.454</f>
        <v>0</v>
      </c>
      <c r="Y1530" s="86">
        <f t="shared" si="225"/>
        <v>120.20490625000001</v>
      </c>
    </row>
    <row r="1531" spans="1:25" ht="12.75" customHeight="1" outlineLevel="2">
      <c r="A1531" s="160">
        <v>1</v>
      </c>
      <c r="B1531" s="159" t="s">
        <v>410</v>
      </c>
      <c r="C1531" s="159"/>
      <c r="D1531" s="159"/>
      <c r="E1531" s="159"/>
      <c r="F1531" s="159"/>
      <c r="G1531" s="159"/>
      <c r="H1531" s="159"/>
      <c r="I1531" s="159"/>
      <c r="J1531" s="159"/>
      <c r="K1531" s="159"/>
      <c r="L1531" s="159"/>
      <c r="M1531" s="159"/>
      <c r="N1531" s="159"/>
      <c r="O1531" s="159"/>
      <c r="P1531" s="159"/>
      <c r="Q1531" s="159"/>
      <c r="R1531" s="159"/>
      <c r="S1531" s="159"/>
      <c r="T1531" s="159"/>
      <c r="U1531" s="159"/>
      <c r="V1531" s="159"/>
      <c r="W1531" s="159"/>
      <c r="X1531" s="159"/>
      <c r="Y1531" s="86">
        <f t="shared" si="225"/>
        <v>0</v>
      </c>
    </row>
    <row r="1532" spans="1:25" ht="18" outlineLevel="2">
      <c r="A1532" s="160"/>
      <c r="B1532" s="39">
        <f>D1532+G1532+J1532</f>
        <v>30</v>
      </c>
      <c r="C1532" s="40">
        <f>E1532+H1532+K1532</f>
        <v>92.73749999999998</v>
      </c>
      <c r="D1532" s="39">
        <v>30</v>
      </c>
      <c r="E1532" s="16">
        <f>D1532*FORECAST(D1532,AA$11:AA$12,Z$11:Z$12)</f>
        <v>92.73749999999998</v>
      </c>
      <c r="F1532" s="39" t="s">
        <v>433</v>
      </c>
      <c r="G1532" s="39"/>
      <c r="H1532" s="39"/>
      <c r="I1532" s="39"/>
      <c r="J1532" s="39"/>
      <c r="K1532" s="39"/>
      <c r="L1532" s="39"/>
      <c r="M1532" s="39"/>
      <c r="N1532" s="39">
        <v>3200</v>
      </c>
      <c r="O1532" s="16">
        <f>C1532/0.92</f>
        <v>100.80163043478258</v>
      </c>
      <c r="P1532" s="39"/>
      <c r="Q1532" s="39"/>
      <c r="R1532" s="16">
        <f>1.454*C1532</f>
        <v>134.84032499999998</v>
      </c>
      <c r="S1532" s="18">
        <f>E1532*1.454*0.4</f>
        <v>53.93612999999999</v>
      </c>
      <c r="T1532" s="18">
        <f>E1532*1.454*0.2</f>
        <v>26.968064999999996</v>
      </c>
      <c r="U1532" s="18">
        <f>E1532*1.454*0.2</f>
        <v>26.968064999999996</v>
      </c>
      <c r="V1532" s="18">
        <f>E1532*1.454*0.2</f>
        <v>26.968064999999996</v>
      </c>
      <c r="W1532" s="18">
        <f>H1532*1.454</f>
        <v>0</v>
      </c>
      <c r="X1532" s="18">
        <f>K1532*1.454</f>
        <v>0</v>
      </c>
      <c r="Y1532" s="86">
        <f t="shared" si="225"/>
        <v>134.84032499999998</v>
      </c>
    </row>
    <row r="1533" spans="1:25" ht="36" customHeight="1" hidden="1" outlineLevel="1">
      <c r="A1533" s="6" t="s">
        <v>465</v>
      </c>
      <c r="B1533" s="20">
        <f>B1530+B1532</f>
        <v>55</v>
      </c>
      <c r="C1533" s="23">
        <f>C1530+C1532</f>
        <v>175.40937499999998</v>
      </c>
      <c r="D1533" s="20">
        <f>D1530+D1532</f>
        <v>55</v>
      </c>
      <c r="E1533" s="23">
        <f>E1530+E1532</f>
        <v>175.40937499999998</v>
      </c>
      <c r="F1533" s="6" t="s">
        <v>433</v>
      </c>
      <c r="G1533" s="20">
        <f>G1530+G1532</f>
        <v>0</v>
      </c>
      <c r="H1533" s="20">
        <f>H1530+H1532</f>
        <v>0</v>
      </c>
      <c r="I1533" s="20" t="s">
        <v>441</v>
      </c>
      <c r="J1533" s="20">
        <f>J1530+J1532</f>
        <v>0</v>
      </c>
      <c r="K1533" s="20">
        <f>K1530+K1532</f>
        <v>0</v>
      </c>
      <c r="L1533" s="6" t="s">
        <v>441</v>
      </c>
      <c r="M1533" s="20">
        <f aca="true" t="shared" si="227" ref="M1533:X1533">M1530+M1532</f>
        <v>400</v>
      </c>
      <c r="N1533" s="20">
        <f t="shared" si="227"/>
        <v>4000</v>
      </c>
      <c r="O1533" s="23">
        <f t="shared" si="227"/>
        <v>190.66236413043475</v>
      </c>
      <c r="P1533" s="20">
        <f t="shared" si="227"/>
        <v>1</v>
      </c>
      <c r="Q1533" s="20">
        <f t="shared" si="227"/>
        <v>100</v>
      </c>
      <c r="R1533" s="23">
        <f t="shared" si="227"/>
        <v>255.04523124999997</v>
      </c>
      <c r="S1533" s="23">
        <f t="shared" si="227"/>
        <v>102.0180925</v>
      </c>
      <c r="T1533" s="23">
        <f t="shared" si="227"/>
        <v>51.00904625</v>
      </c>
      <c r="U1533" s="23">
        <f t="shared" si="227"/>
        <v>51.00904625</v>
      </c>
      <c r="V1533" s="23">
        <f t="shared" si="227"/>
        <v>51.00904625</v>
      </c>
      <c r="W1533" s="23">
        <f t="shared" si="227"/>
        <v>0</v>
      </c>
      <c r="X1533" s="23">
        <f t="shared" si="227"/>
        <v>0</v>
      </c>
      <c r="Y1533" s="86">
        <f t="shared" si="225"/>
        <v>255.04523124999997</v>
      </c>
    </row>
    <row r="1534" spans="1:25" ht="12.75" customHeight="1" outlineLevel="2">
      <c r="A1534" s="160">
        <v>1</v>
      </c>
      <c r="B1534" s="159" t="s">
        <v>718</v>
      </c>
      <c r="C1534" s="159"/>
      <c r="D1534" s="159"/>
      <c r="E1534" s="159"/>
      <c r="F1534" s="159"/>
      <c r="G1534" s="159"/>
      <c r="H1534" s="159"/>
      <c r="I1534" s="159"/>
      <c r="J1534" s="159"/>
      <c r="K1534" s="159"/>
      <c r="L1534" s="159"/>
      <c r="M1534" s="159"/>
      <c r="N1534" s="159"/>
      <c r="O1534" s="159"/>
      <c r="P1534" s="159"/>
      <c r="Q1534" s="159"/>
      <c r="R1534" s="159"/>
      <c r="S1534" s="159"/>
      <c r="T1534" s="159"/>
      <c r="U1534" s="159"/>
      <c r="V1534" s="159"/>
      <c r="W1534" s="159"/>
      <c r="X1534" s="159"/>
      <c r="Y1534" s="86">
        <f t="shared" si="225"/>
        <v>0</v>
      </c>
    </row>
    <row r="1535" spans="1:25" ht="18" outlineLevel="2">
      <c r="A1535" s="160"/>
      <c r="B1535" s="39">
        <v>2</v>
      </c>
      <c r="C1535" s="40">
        <v>10</v>
      </c>
      <c r="D1535" s="39">
        <v>2</v>
      </c>
      <c r="E1535" s="16">
        <v>10</v>
      </c>
      <c r="F1535" s="39" t="s">
        <v>433</v>
      </c>
      <c r="G1535" s="39"/>
      <c r="H1535" s="39"/>
      <c r="I1535" s="39"/>
      <c r="J1535" s="39"/>
      <c r="K1535" s="39"/>
      <c r="L1535" s="39"/>
      <c r="M1535" s="39">
        <v>3000</v>
      </c>
      <c r="N1535" s="39"/>
      <c r="O1535" s="16">
        <f>C1535/0.92</f>
        <v>10.869565217391305</v>
      </c>
      <c r="P1535" s="39">
        <v>1</v>
      </c>
      <c r="Q1535" s="39">
        <v>25</v>
      </c>
      <c r="R1535" s="16">
        <v>370</v>
      </c>
      <c r="S1535" s="18">
        <f>R1535*0.4</f>
        <v>148</v>
      </c>
      <c r="T1535" s="18">
        <f>R1535*0.2</f>
        <v>74</v>
      </c>
      <c r="U1535" s="18">
        <f>R1535*0.2</f>
        <v>74</v>
      </c>
      <c r="V1535" s="18">
        <f>R1535*0.2</f>
        <v>74</v>
      </c>
      <c r="W1535" s="18">
        <f>H1535*1.454</f>
        <v>0</v>
      </c>
      <c r="X1535" s="18">
        <f>K1535*1.454</f>
        <v>0</v>
      </c>
      <c r="Y1535" s="86">
        <f t="shared" si="225"/>
        <v>370</v>
      </c>
    </row>
    <row r="1536" spans="1:25" ht="12.75" customHeight="1" outlineLevel="2">
      <c r="A1536" s="160">
        <v>1</v>
      </c>
      <c r="B1536" s="159" t="s">
        <v>715</v>
      </c>
      <c r="C1536" s="159"/>
      <c r="D1536" s="159"/>
      <c r="E1536" s="159"/>
      <c r="F1536" s="159"/>
      <c r="G1536" s="159"/>
      <c r="H1536" s="159"/>
      <c r="I1536" s="159"/>
      <c r="J1536" s="159"/>
      <c r="K1536" s="159"/>
      <c r="L1536" s="159"/>
      <c r="M1536" s="159"/>
      <c r="N1536" s="159"/>
      <c r="O1536" s="159"/>
      <c r="P1536" s="159"/>
      <c r="Q1536" s="159"/>
      <c r="R1536" s="159"/>
      <c r="S1536" s="159"/>
      <c r="T1536" s="159"/>
      <c r="U1536" s="159"/>
      <c r="V1536" s="159"/>
      <c r="W1536" s="159"/>
      <c r="X1536" s="159"/>
      <c r="Y1536" s="86">
        <f t="shared" si="225"/>
        <v>0</v>
      </c>
    </row>
    <row r="1537" spans="1:25" ht="18" outlineLevel="2">
      <c r="A1537" s="160"/>
      <c r="B1537" s="39">
        <v>15</v>
      </c>
      <c r="C1537" s="40">
        <v>75</v>
      </c>
      <c r="D1537" s="39">
        <v>15</v>
      </c>
      <c r="E1537" s="8">
        <v>75</v>
      </c>
      <c r="F1537" s="39" t="s">
        <v>433</v>
      </c>
      <c r="G1537" s="39"/>
      <c r="H1537" s="39"/>
      <c r="I1537" s="39"/>
      <c r="J1537" s="39"/>
      <c r="K1537" s="39"/>
      <c r="L1537" s="39"/>
      <c r="M1537" s="39">
        <v>60</v>
      </c>
      <c r="N1537" s="39">
        <v>800</v>
      </c>
      <c r="O1537" s="8">
        <f>C1537/0.92</f>
        <v>81.52173913043478</v>
      </c>
      <c r="P1537" s="39">
        <v>1</v>
      </c>
      <c r="Q1537" s="39">
        <v>100</v>
      </c>
      <c r="R1537" s="8">
        <v>214</v>
      </c>
      <c r="S1537" s="9">
        <f>R1537*0.4</f>
        <v>85.60000000000001</v>
      </c>
      <c r="T1537" s="9">
        <f>R1537*0.2</f>
        <v>42.800000000000004</v>
      </c>
      <c r="U1537" s="9">
        <f>R1537*0.2</f>
        <v>42.800000000000004</v>
      </c>
      <c r="V1537" s="9">
        <f>R1537*0.2</f>
        <v>42.800000000000004</v>
      </c>
      <c r="W1537" s="9">
        <f>H1537*1.454</f>
        <v>0</v>
      </c>
      <c r="X1537" s="9">
        <f>K1537*1.454</f>
        <v>0</v>
      </c>
      <c r="Y1537" s="86">
        <f t="shared" si="225"/>
        <v>214.00000000000003</v>
      </c>
    </row>
    <row r="1538" spans="1:25" s="63" customFormat="1" ht="18.75">
      <c r="A1538" s="159" t="s">
        <v>103</v>
      </c>
      <c r="B1538" s="159"/>
      <c r="C1538" s="159"/>
      <c r="D1538" s="159"/>
      <c r="E1538" s="159"/>
      <c r="F1538" s="159"/>
      <c r="G1538" s="159"/>
      <c r="H1538" s="159"/>
      <c r="I1538" s="159"/>
      <c r="J1538" s="159"/>
      <c r="K1538" s="159"/>
      <c r="L1538" s="159"/>
      <c r="M1538" s="159"/>
      <c r="N1538" s="159"/>
      <c r="O1538" s="159"/>
      <c r="P1538" s="159"/>
      <c r="Q1538" s="159"/>
      <c r="R1538" s="159"/>
      <c r="S1538" s="159"/>
      <c r="T1538" s="159"/>
      <c r="U1538" s="159"/>
      <c r="V1538" s="159"/>
      <c r="W1538" s="159"/>
      <c r="X1538" s="90"/>
      <c r="Y1538" s="86">
        <f t="shared" si="225"/>
        <v>0</v>
      </c>
    </row>
    <row r="1539" spans="1:25" s="63" customFormat="1" ht="18.75">
      <c r="A1539" s="81">
        <v>1</v>
      </c>
      <c r="B1539" s="81">
        <v>30</v>
      </c>
      <c r="C1539" s="81">
        <v>150</v>
      </c>
      <c r="D1539" s="81">
        <v>30</v>
      </c>
      <c r="E1539" s="81">
        <v>150</v>
      </c>
      <c r="F1539" s="81" t="s">
        <v>433</v>
      </c>
      <c r="G1539" s="81"/>
      <c r="H1539" s="81"/>
      <c r="I1539" s="81"/>
      <c r="J1539" s="81"/>
      <c r="K1539" s="81"/>
      <c r="L1539" s="81"/>
      <c r="M1539" s="81">
        <v>30</v>
      </c>
      <c r="N1539" s="81">
        <v>1500</v>
      </c>
      <c r="O1539" s="81">
        <v>160</v>
      </c>
      <c r="P1539" s="81">
        <v>1</v>
      </c>
      <c r="Q1539" s="81">
        <v>160</v>
      </c>
      <c r="R1539" s="82">
        <v>287</v>
      </c>
      <c r="S1539" s="81">
        <v>114.8</v>
      </c>
      <c r="T1539" s="81">
        <v>57.4</v>
      </c>
      <c r="U1539" s="81">
        <v>57.4</v>
      </c>
      <c r="V1539" s="81">
        <v>57.4</v>
      </c>
      <c r="W1539" s="82">
        <v>0</v>
      </c>
      <c r="X1539" s="82">
        <v>0</v>
      </c>
      <c r="Y1539" s="86">
        <f t="shared" si="225"/>
        <v>287</v>
      </c>
    </row>
    <row r="1540" spans="1:25" s="63" customFormat="1" ht="18.75">
      <c r="A1540" s="159" t="s">
        <v>102</v>
      </c>
      <c r="B1540" s="159"/>
      <c r="C1540" s="159"/>
      <c r="D1540" s="159"/>
      <c r="E1540" s="159"/>
      <c r="F1540" s="159"/>
      <c r="G1540" s="159"/>
      <c r="H1540" s="159"/>
      <c r="I1540" s="159"/>
      <c r="J1540" s="159"/>
      <c r="K1540" s="159"/>
      <c r="L1540" s="159"/>
      <c r="M1540" s="159"/>
      <c r="N1540" s="159"/>
      <c r="O1540" s="159"/>
      <c r="P1540" s="159"/>
      <c r="Q1540" s="159"/>
      <c r="R1540" s="159"/>
      <c r="S1540" s="159"/>
      <c r="T1540" s="159"/>
      <c r="U1540" s="159"/>
      <c r="V1540" s="159"/>
      <c r="W1540" s="159"/>
      <c r="X1540" s="90"/>
      <c r="Y1540" s="86">
        <f t="shared" si="225"/>
        <v>0</v>
      </c>
    </row>
    <row r="1541" spans="1:25" s="63" customFormat="1" ht="18.75">
      <c r="A1541" s="81">
        <v>1</v>
      </c>
      <c r="B1541" s="81">
        <v>30</v>
      </c>
      <c r="C1541" s="81">
        <v>150</v>
      </c>
      <c r="D1541" s="81">
        <v>30</v>
      </c>
      <c r="E1541" s="81">
        <v>150</v>
      </c>
      <c r="F1541" s="81" t="s">
        <v>433</v>
      </c>
      <c r="G1541" s="81"/>
      <c r="H1541" s="81"/>
      <c r="I1541" s="81"/>
      <c r="J1541" s="81"/>
      <c r="K1541" s="81"/>
      <c r="L1541" s="81"/>
      <c r="M1541" s="81">
        <v>100</v>
      </c>
      <c r="N1541" s="81">
        <v>1000</v>
      </c>
      <c r="O1541" s="81">
        <v>160</v>
      </c>
      <c r="P1541" s="81">
        <v>1</v>
      </c>
      <c r="Q1541" s="81">
        <v>160</v>
      </c>
      <c r="R1541" s="82">
        <v>80</v>
      </c>
      <c r="S1541" s="82">
        <f>R1541*0.4</f>
        <v>32</v>
      </c>
      <c r="T1541" s="82">
        <f>R1541*0.2</f>
        <v>16</v>
      </c>
      <c r="U1541" s="82">
        <v>16</v>
      </c>
      <c r="V1541" s="82">
        <v>16</v>
      </c>
      <c r="W1541" s="82">
        <v>0</v>
      </c>
      <c r="X1541" s="82">
        <v>0</v>
      </c>
      <c r="Y1541" s="86">
        <f t="shared" si="225"/>
        <v>80</v>
      </c>
    </row>
    <row r="1542" spans="1:25" s="63" customFormat="1" ht="18.75">
      <c r="A1542" s="159" t="s">
        <v>101</v>
      </c>
      <c r="B1542" s="159"/>
      <c r="C1542" s="159"/>
      <c r="D1542" s="159"/>
      <c r="E1542" s="159"/>
      <c r="F1542" s="159"/>
      <c r="G1542" s="159"/>
      <c r="H1542" s="159"/>
      <c r="I1542" s="159"/>
      <c r="J1542" s="159"/>
      <c r="K1542" s="159"/>
      <c r="L1542" s="159"/>
      <c r="M1542" s="159"/>
      <c r="N1542" s="159"/>
      <c r="O1542" s="159"/>
      <c r="P1542" s="159"/>
      <c r="Q1542" s="159"/>
      <c r="R1542" s="159"/>
      <c r="S1542" s="159"/>
      <c r="T1542" s="159"/>
      <c r="U1542" s="159"/>
      <c r="V1542" s="159"/>
      <c r="W1542" s="159"/>
      <c r="X1542" s="90"/>
      <c r="Y1542" s="86">
        <f t="shared" si="225"/>
        <v>0</v>
      </c>
    </row>
    <row r="1543" spans="1:25" s="63" customFormat="1" ht="18.75">
      <c r="A1543" s="81">
        <v>1</v>
      </c>
      <c r="B1543" s="81">
        <v>32</v>
      </c>
      <c r="C1543" s="81">
        <v>150</v>
      </c>
      <c r="D1543" s="81">
        <v>32</v>
      </c>
      <c r="E1543" s="81">
        <v>150</v>
      </c>
      <c r="F1543" s="81" t="s">
        <v>433</v>
      </c>
      <c r="G1543" s="81"/>
      <c r="H1543" s="81"/>
      <c r="I1543" s="81"/>
      <c r="J1543" s="81"/>
      <c r="K1543" s="81"/>
      <c r="L1543" s="81"/>
      <c r="M1543" s="81">
        <v>200</v>
      </c>
      <c r="N1543" s="81">
        <v>800</v>
      </c>
      <c r="O1543" s="81">
        <v>100</v>
      </c>
      <c r="P1543" s="81">
        <v>1</v>
      </c>
      <c r="Q1543" s="81">
        <v>100</v>
      </c>
      <c r="R1543" s="82">
        <v>60</v>
      </c>
      <c r="S1543" s="82">
        <v>24</v>
      </c>
      <c r="T1543" s="82">
        <v>12</v>
      </c>
      <c r="U1543" s="82">
        <v>12</v>
      </c>
      <c r="V1543" s="82">
        <v>12</v>
      </c>
      <c r="W1543" s="82">
        <v>0</v>
      </c>
      <c r="X1543" s="82">
        <v>0</v>
      </c>
      <c r="Y1543" s="86">
        <f t="shared" si="225"/>
        <v>60</v>
      </c>
    </row>
    <row r="1544" spans="1:25" ht="36" customHeight="1" outlineLevel="1">
      <c r="A1544" s="6" t="s">
        <v>466</v>
      </c>
      <c r="B1544" s="20">
        <f>B1537+B1535+B1533+B1527+B1504+B1539+B1541+B1543</f>
        <v>2708</v>
      </c>
      <c r="C1544" s="23">
        <f aca="true" t="shared" si="228" ref="C1544:X1544">C1537+C1535+C1533+C1527+C1504+C1539+C1541+C1543</f>
        <v>6885.78875</v>
      </c>
      <c r="D1544" s="20">
        <f t="shared" si="228"/>
        <v>1607</v>
      </c>
      <c r="E1544" s="23">
        <f t="shared" si="228"/>
        <v>6875.748749999999</v>
      </c>
      <c r="F1544" s="20" t="s">
        <v>433</v>
      </c>
      <c r="G1544" s="20">
        <f t="shared" si="228"/>
        <v>0</v>
      </c>
      <c r="H1544" s="20">
        <f t="shared" si="228"/>
        <v>0</v>
      </c>
      <c r="I1544" s="20" t="s">
        <v>441</v>
      </c>
      <c r="J1544" s="20">
        <f t="shared" si="228"/>
        <v>1</v>
      </c>
      <c r="K1544" s="20">
        <f t="shared" si="228"/>
        <v>10</v>
      </c>
      <c r="L1544" s="20" t="s">
        <v>441</v>
      </c>
      <c r="M1544" s="20">
        <f t="shared" si="228"/>
        <v>13820</v>
      </c>
      <c r="N1544" s="20">
        <f t="shared" si="228"/>
        <v>61420</v>
      </c>
      <c r="O1544" s="23">
        <f t="shared" si="228"/>
        <v>6629.505163043478</v>
      </c>
      <c r="P1544" s="20">
        <f t="shared" si="228"/>
        <v>50</v>
      </c>
      <c r="Q1544" s="20">
        <f t="shared" si="228"/>
        <v>5823</v>
      </c>
      <c r="R1544" s="23">
        <f>R1537+R1535+R1533+R1527+R1504+R1539+R1541+R1543</f>
        <v>12116.9128825</v>
      </c>
      <c r="S1544" s="23">
        <f>S1537+S1535+S1533+S1527+S1504+S1539+S1541+S1543</f>
        <v>4841.545153</v>
      </c>
      <c r="T1544" s="23">
        <f>T1537+T1535+T1533+T1527+T1504+T1539+T1541+T1543</f>
        <v>2420.8225765</v>
      </c>
      <c r="U1544" s="23">
        <f>U1537+U1535+U1533+U1527+U1504+U1539+U1541+U1543</f>
        <v>2420.8225765</v>
      </c>
      <c r="V1544" s="23">
        <f>V1537+V1535+V1533+V1527+V1504+V1539+V1541+V1543</f>
        <v>2420.8225765</v>
      </c>
      <c r="W1544" s="23">
        <f t="shared" si="228"/>
        <v>0</v>
      </c>
      <c r="X1544" s="20">
        <f t="shared" si="228"/>
        <v>13</v>
      </c>
      <c r="Y1544" s="86">
        <f>S1544+T1544+U1544+V1544+X1544</f>
        <v>12117.012882500001</v>
      </c>
    </row>
    <row r="1545" spans="1:25" ht="12.75" customHeight="1" outlineLevel="1">
      <c r="A1545" s="161" t="s">
        <v>439</v>
      </c>
      <c r="B1545" s="161"/>
      <c r="C1545" s="161"/>
      <c r="D1545" s="161"/>
      <c r="E1545" s="161"/>
      <c r="F1545" s="161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4">
        <f>U1545*2</f>
        <v>0</v>
      </c>
    </row>
    <row r="1546" spans="1:25" ht="12.75" customHeight="1" outlineLevel="1">
      <c r="A1546" s="164" t="s">
        <v>456</v>
      </c>
      <c r="B1546" s="159" t="s">
        <v>411</v>
      </c>
      <c r="C1546" s="159"/>
      <c r="D1546" s="159"/>
      <c r="E1546" s="159"/>
      <c r="F1546" s="159"/>
      <c r="G1546" s="159"/>
      <c r="H1546" s="159"/>
      <c r="I1546" s="159"/>
      <c r="J1546" s="159"/>
      <c r="K1546" s="159"/>
      <c r="L1546" s="159"/>
      <c r="M1546" s="159"/>
      <c r="N1546" s="159"/>
      <c r="O1546" s="159"/>
      <c r="P1546" s="159"/>
      <c r="Q1546" s="159"/>
      <c r="R1546" s="159"/>
      <c r="S1546" s="159"/>
      <c r="T1546" s="159"/>
      <c r="U1546" s="159"/>
      <c r="V1546" s="159"/>
      <c r="W1546" s="159"/>
      <c r="X1546" s="159"/>
      <c r="Y1546" s="4">
        <f>U1546*2</f>
        <v>0</v>
      </c>
    </row>
    <row r="1547" spans="1:25" ht="18" outlineLevel="1">
      <c r="A1547" s="164"/>
      <c r="B1547" s="20">
        <f>D1547+G1547+J1547</f>
        <v>17</v>
      </c>
      <c r="C1547" s="23">
        <f>E1547+H1547+K1547</f>
        <v>69.02</v>
      </c>
      <c r="D1547" s="20">
        <v>17</v>
      </c>
      <c r="E1547" s="8">
        <f>D1547*FORECAST(D1547,AA$9:AA$10,Z$9:Z$10)</f>
        <v>69.02</v>
      </c>
      <c r="F1547" s="20" t="s">
        <v>433</v>
      </c>
      <c r="G1547" s="20">
        <v>0</v>
      </c>
      <c r="H1547" s="20">
        <v>0</v>
      </c>
      <c r="I1547" s="20" t="s">
        <v>441</v>
      </c>
      <c r="J1547" s="20">
        <v>0</v>
      </c>
      <c r="K1547" s="20">
        <v>0</v>
      </c>
      <c r="L1547" s="20" t="s">
        <v>441</v>
      </c>
      <c r="M1547" s="20">
        <v>30</v>
      </c>
      <c r="N1547" s="20">
        <v>1500</v>
      </c>
      <c r="O1547" s="8">
        <f>C1547/0.92</f>
        <v>75.02173913043478</v>
      </c>
      <c r="P1547" s="20">
        <v>0</v>
      </c>
      <c r="Q1547" s="20">
        <v>0</v>
      </c>
      <c r="R1547" s="8">
        <f>1.454*C1547</f>
        <v>100.35507999999999</v>
      </c>
      <c r="S1547" s="9">
        <f>E1547*1.454*0.4</f>
        <v>40.142032</v>
      </c>
      <c r="T1547" s="9">
        <f>E1547*1.454*0.2</f>
        <v>20.071016</v>
      </c>
      <c r="U1547" s="9">
        <f>E1547*1.454*0.2</f>
        <v>20.071016</v>
      </c>
      <c r="V1547" s="9">
        <f>E1547*1.454*0.2</f>
        <v>20.071016</v>
      </c>
      <c r="W1547" s="9">
        <f>H1547*1.454</f>
        <v>0</v>
      </c>
      <c r="X1547" s="9">
        <f>K1547*1.454</f>
        <v>0</v>
      </c>
      <c r="Y1547" s="4">
        <f>U1547*2</f>
        <v>40.142032</v>
      </c>
    </row>
    <row r="1548" spans="1:25" ht="108">
      <c r="A1548" s="6" t="s">
        <v>732</v>
      </c>
      <c r="B1548" s="20">
        <f>B1544+B1547</f>
        <v>2725</v>
      </c>
      <c r="C1548" s="44">
        <f aca="true" t="shared" si="229" ref="C1548:X1548">C1544+C1547</f>
        <v>6954.80875</v>
      </c>
      <c r="D1548" s="20">
        <f t="shared" si="229"/>
        <v>1624</v>
      </c>
      <c r="E1548" s="44">
        <f t="shared" si="229"/>
        <v>6944.768749999999</v>
      </c>
      <c r="F1548" s="20" t="s">
        <v>433</v>
      </c>
      <c r="G1548" s="20">
        <f t="shared" si="229"/>
        <v>0</v>
      </c>
      <c r="H1548" s="20">
        <f t="shared" si="229"/>
        <v>0</v>
      </c>
      <c r="I1548" s="20" t="s">
        <v>441</v>
      </c>
      <c r="J1548" s="20">
        <f t="shared" si="229"/>
        <v>1</v>
      </c>
      <c r="K1548" s="20">
        <f t="shared" si="229"/>
        <v>10</v>
      </c>
      <c r="L1548" s="20" t="s">
        <v>433</v>
      </c>
      <c r="M1548" s="20">
        <f t="shared" si="229"/>
        <v>13850</v>
      </c>
      <c r="N1548" s="20">
        <f t="shared" si="229"/>
        <v>62920</v>
      </c>
      <c r="O1548" s="23">
        <f t="shared" si="229"/>
        <v>6704.526902173913</v>
      </c>
      <c r="P1548" s="20">
        <f t="shared" si="229"/>
        <v>50</v>
      </c>
      <c r="Q1548" s="20">
        <f t="shared" si="229"/>
        <v>5823</v>
      </c>
      <c r="R1548" s="23">
        <f t="shared" si="229"/>
        <v>12217.2679625</v>
      </c>
      <c r="S1548" s="23">
        <f t="shared" si="229"/>
        <v>4881.687185</v>
      </c>
      <c r="T1548" s="23">
        <f t="shared" si="229"/>
        <v>2440.8935925</v>
      </c>
      <c r="U1548" s="23">
        <f t="shared" si="229"/>
        <v>2440.8935925</v>
      </c>
      <c r="V1548" s="23">
        <f t="shared" si="229"/>
        <v>2440.8935925</v>
      </c>
      <c r="W1548" s="20">
        <f t="shared" si="229"/>
        <v>0</v>
      </c>
      <c r="X1548" s="20">
        <f t="shared" si="229"/>
        <v>13</v>
      </c>
      <c r="Y1548" s="4">
        <f>U1548*2</f>
        <v>4881.787185</v>
      </c>
    </row>
    <row r="1549" spans="1:24" ht="12.75" customHeight="1">
      <c r="A1549" s="161" t="s">
        <v>476</v>
      </c>
      <c r="B1549" s="161"/>
      <c r="C1549" s="161"/>
      <c r="D1549" s="161"/>
      <c r="E1549" s="161"/>
      <c r="F1549" s="161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</row>
    <row r="1550" spans="1:24" ht="12.75" customHeight="1">
      <c r="A1550" s="173" t="s">
        <v>497</v>
      </c>
      <c r="B1550" s="173" t="s">
        <v>481</v>
      </c>
      <c r="C1550" s="173"/>
      <c r="D1550" s="173" t="s">
        <v>415</v>
      </c>
      <c r="E1550" s="173"/>
      <c r="F1550" s="173"/>
      <c r="G1550" s="173"/>
      <c r="H1550" s="173"/>
      <c r="I1550" s="173"/>
      <c r="J1550" s="173"/>
      <c r="K1550" s="173"/>
      <c r="L1550" s="173"/>
      <c r="M1550" s="173" t="s">
        <v>104</v>
      </c>
      <c r="N1550" s="173"/>
      <c r="O1550" s="173" t="s">
        <v>523</v>
      </c>
      <c r="P1550" s="173" t="s">
        <v>415</v>
      </c>
      <c r="Q1550" s="173"/>
      <c r="R1550" s="173" t="s">
        <v>416</v>
      </c>
      <c r="S1550" s="175" t="s">
        <v>415</v>
      </c>
      <c r="T1550" s="175"/>
      <c r="U1550" s="175"/>
      <c r="V1550" s="175"/>
      <c r="W1550" s="175"/>
      <c r="X1550" s="175"/>
    </row>
    <row r="1551" spans="1:24" ht="51" customHeight="1">
      <c r="A1551" s="173"/>
      <c r="B1551" s="173"/>
      <c r="C1551" s="173"/>
      <c r="D1551" s="173" t="s">
        <v>417</v>
      </c>
      <c r="E1551" s="173"/>
      <c r="F1551" s="173"/>
      <c r="G1551" s="173" t="s">
        <v>418</v>
      </c>
      <c r="H1551" s="173"/>
      <c r="I1551" s="173"/>
      <c r="J1551" s="173" t="s">
        <v>419</v>
      </c>
      <c r="K1551" s="173"/>
      <c r="L1551" s="173"/>
      <c r="M1551" s="173"/>
      <c r="N1551" s="173"/>
      <c r="O1551" s="173"/>
      <c r="P1551" s="173" t="s">
        <v>420</v>
      </c>
      <c r="Q1551" s="173"/>
      <c r="R1551" s="173"/>
      <c r="S1551" s="175" t="s">
        <v>417</v>
      </c>
      <c r="T1551" s="175"/>
      <c r="U1551" s="175"/>
      <c r="V1551" s="175"/>
      <c r="W1551" s="1" t="s">
        <v>418</v>
      </c>
      <c r="X1551" s="1" t="s">
        <v>478</v>
      </c>
    </row>
    <row r="1552" spans="1:24" ht="48.75" customHeight="1">
      <c r="A1552" s="173"/>
      <c r="B1552" s="1" t="s">
        <v>479</v>
      </c>
      <c r="C1552" s="1" t="s">
        <v>480</v>
      </c>
      <c r="D1552" s="1" t="s">
        <v>421</v>
      </c>
      <c r="E1552" s="1" t="s">
        <v>422</v>
      </c>
      <c r="F1552" s="173" t="s">
        <v>423</v>
      </c>
      <c r="G1552" s="1" t="s">
        <v>421</v>
      </c>
      <c r="H1552" s="1" t="s">
        <v>422</v>
      </c>
      <c r="I1552" s="173" t="s">
        <v>423</v>
      </c>
      <c r="J1552" s="1" t="s">
        <v>421</v>
      </c>
      <c r="K1552" s="1" t="s">
        <v>422</v>
      </c>
      <c r="L1552" s="173" t="s">
        <v>423</v>
      </c>
      <c r="M1552" s="173" t="s">
        <v>424</v>
      </c>
      <c r="N1552" s="173" t="s">
        <v>425</v>
      </c>
      <c r="O1552" s="173"/>
      <c r="P1552" s="1" t="s">
        <v>421</v>
      </c>
      <c r="Q1552" s="1" t="s">
        <v>422</v>
      </c>
      <c r="R1552" s="173"/>
      <c r="S1552" s="1" t="s">
        <v>696</v>
      </c>
      <c r="T1552" s="1" t="s">
        <v>697</v>
      </c>
      <c r="U1552" s="1" t="s">
        <v>482</v>
      </c>
      <c r="V1552" s="1" t="s">
        <v>483</v>
      </c>
      <c r="W1552" s="1" t="s">
        <v>484</v>
      </c>
      <c r="X1552" s="1" t="s">
        <v>484</v>
      </c>
    </row>
    <row r="1553" spans="1:24" ht="30">
      <c r="A1553" s="173"/>
      <c r="B1553" s="1" t="s">
        <v>734</v>
      </c>
      <c r="C1553" s="1" t="s">
        <v>426</v>
      </c>
      <c r="D1553" s="2" t="s">
        <v>734</v>
      </c>
      <c r="E1553" s="2" t="s">
        <v>426</v>
      </c>
      <c r="F1553" s="173"/>
      <c r="G1553" s="1" t="s">
        <v>734</v>
      </c>
      <c r="H1553" s="2" t="s">
        <v>426</v>
      </c>
      <c r="I1553" s="173"/>
      <c r="J1553" s="1" t="s">
        <v>734</v>
      </c>
      <c r="K1553" s="2" t="s">
        <v>426</v>
      </c>
      <c r="L1553" s="173"/>
      <c r="M1553" s="173"/>
      <c r="N1553" s="173"/>
      <c r="O1553" s="3" t="s">
        <v>427</v>
      </c>
      <c r="P1553" s="1" t="s">
        <v>734</v>
      </c>
      <c r="Q1553" s="2" t="s">
        <v>427</v>
      </c>
      <c r="R1553" s="2" t="s">
        <v>486</v>
      </c>
      <c r="S1553" s="2" t="s">
        <v>486</v>
      </c>
      <c r="T1553" s="2" t="s">
        <v>486</v>
      </c>
      <c r="U1553" s="2" t="s">
        <v>486</v>
      </c>
      <c r="V1553" s="2" t="s">
        <v>486</v>
      </c>
      <c r="W1553" s="2" t="s">
        <v>486</v>
      </c>
      <c r="X1553" s="2" t="s">
        <v>486</v>
      </c>
    </row>
    <row r="1554" spans="1:25" ht="34.5" customHeight="1" outlineLevel="1">
      <c r="A1554" s="6" t="s">
        <v>466</v>
      </c>
      <c r="B1554" s="23">
        <f>B102+B297+B410+B444+B499+B650+B827+B873+B1132+B1359+B384+B677+B718+B784+B1544</f>
        <v>34921</v>
      </c>
      <c r="C1554" s="23">
        <f>C102+C297+C410+C444+C499+C650+C827+C873+C1132+C1359+C384+C677+C718+C784+C1544</f>
        <v>90791.5830833333</v>
      </c>
      <c r="D1554" s="23">
        <f>D102+D297+D410+D444+D499+D650+D827+D873+D1132+D1359+D384+D677+D718+D784+D1544</f>
        <v>33772</v>
      </c>
      <c r="E1554" s="23">
        <f>E102+E297+E410+E444+E499+E650+E827+E873+E1132+E1359+E384+E677+E718+E784+E1544</f>
        <v>89445.84308333333</v>
      </c>
      <c r="F1554" s="23" t="s">
        <v>433</v>
      </c>
      <c r="G1554" s="44">
        <f>G102+G297+G410+G444+G499+G650+G827+G873+G1132+G1359+G384+G677+G718+G784+G1544</f>
        <v>1</v>
      </c>
      <c r="H1554" s="44">
        <f>H102+H297+H410+H444+H499+H650+H827+H873+H1132+H1359+H384+H677+H718+H784+H1544</f>
        <v>500</v>
      </c>
      <c r="I1554" s="23" t="s">
        <v>433</v>
      </c>
      <c r="J1554" s="44">
        <f>J102+J297+J410+J444+J499+J650+J827+J873+J1132+J1359+J384+J677+J718+J784+J1544</f>
        <v>48</v>
      </c>
      <c r="K1554" s="44">
        <f>K102+K297+K410+K444+K499+K650+K827+K873+K1132+K1359+K384+K677+K718+K784+K1544</f>
        <v>858</v>
      </c>
      <c r="L1554" s="23" t="s">
        <v>433</v>
      </c>
      <c r="M1554" s="23">
        <f aca="true" t="shared" si="230" ref="M1554:X1554">M102+M297+M410+M444+M499+M650+M827+M873+M1132+M1359+M384+M677+M718+M784+M1544</f>
        <v>64699</v>
      </c>
      <c r="N1554" s="23">
        <f t="shared" si="230"/>
        <v>456977</v>
      </c>
      <c r="O1554" s="23">
        <f t="shared" si="230"/>
        <v>95887.54596014491</v>
      </c>
      <c r="P1554" s="23">
        <f t="shared" si="230"/>
        <v>399</v>
      </c>
      <c r="Q1554" s="23">
        <f t="shared" si="230"/>
        <v>81946.4</v>
      </c>
      <c r="R1554" s="23">
        <f t="shared" si="230"/>
        <v>130371.14584316665</v>
      </c>
      <c r="S1554" s="23">
        <f t="shared" si="230"/>
        <v>51451.85633726667</v>
      </c>
      <c r="T1554" s="23">
        <f t="shared" si="230"/>
        <v>25725.979168633334</v>
      </c>
      <c r="U1554" s="23">
        <f t="shared" si="230"/>
        <v>25725.938568633333</v>
      </c>
      <c r="V1554" s="23">
        <f t="shared" si="230"/>
        <v>25725.938568633333</v>
      </c>
      <c r="W1554" s="23">
        <f t="shared" si="230"/>
        <v>727</v>
      </c>
      <c r="X1554" s="23">
        <f t="shared" si="230"/>
        <v>1014.394</v>
      </c>
      <c r="Y1554" s="86">
        <f>SUM(S1554:X1554)</f>
        <v>130371.10664316668</v>
      </c>
    </row>
    <row r="1555" spans="1:25" ht="33.75" customHeight="1" outlineLevel="1">
      <c r="A1555" s="6" t="s">
        <v>438</v>
      </c>
      <c r="B1555" s="23">
        <f>B108+B356+B414+B447+B507+B653+B724+B835+B876+B1138+B1371+B686</f>
        <v>1954</v>
      </c>
      <c r="C1555" s="23">
        <f>C108+C356+C414+C447+C507+C653+C724+C835+C876+C1138+C1371+C686</f>
        <v>7808.867083333334</v>
      </c>
      <c r="D1555" s="23">
        <f>D108+D356+D414+D447+D507+D653+D724+D835+D876+D1138+D1371+D686</f>
        <v>1954</v>
      </c>
      <c r="E1555" s="23">
        <f>E108+E356+E414+E447+E507+E653+E724+E835+E876+E1138+E1371+E686</f>
        <v>7808.867083333334</v>
      </c>
      <c r="F1555" s="20" t="s">
        <v>433</v>
      </c>
      <c r="G1555" s="20">
        <f>G108+G356+G414+G447+G507+G653+G724+G835+G876+G1138+G1371+G686</f>
        <v>0</v>
      </c>
      <c r="H1555" s="20">
        <f>H108+H356+H414+H447+H507+H653+H724+H835+H876+H1138+H1371+H686</f>
        <v>0</v>
      </c>
      <c r="I1555" s="20" t="s">
        <v>433</v>
      </c>
      <c r="J1555" s="20">
        <f>J108+J356+J414+J447+J507+J653+J724+J835+J876+J1138+J1371+J686</f>
        <v>0</v>
      </c>
      <c r="K1555" s="20">
        <f>K108+K356+K414+K447+K507+K653+K724+K835+K876+K1138+K1371+K686</f>
        <v>0</v>
      </c>
      <c r="L1555" s="20" t="s">
        <v>433</v>
      </c>
      <c r="M1555" s="23">
        <f aca="true" t="shared" si="231" ref="M1555:X1555">M108+M356+M414+M447+M507+M653+M724+M835+M876+M1138+M1371+M686</f>
        <v>3100</v>
      </c>
      <c r="N1555" s="23">
        <f t="shared" si="231"/>
        <v>36897</v>
      </c>
      <c r="O1555" s="23">
        <f t="shared" si="231"/>
        <v>8397.412047101448</v>
      </c>
      <c r="P1555" s="23">
        <f t="shared" si="231"/>
        <v>24</v>
      </c>
      <c r="Q1555" s="23">
        <f t="shared" si="231"/>
        <v>4650</v>
      </c>
      <c r="R1555" s="23">
        <f t="shared" si="231"/>
        <v>8771.085139166666</v>
      </c>
      <c r="S1555" s="23">
        <f t="shared" si="231"/>
        <v>3508.4340556666675</v>
      </c>
      <c r="T1555" s="23">
        <f t="shared" si="231"/>
        <v>1754.2170278333338</v>
      </c>
      <c r="U1555" s="23">
        <f t="shared" si="231"/>
        <v>1754.2570278333337</v>
      </c>
      <c r="V1555" s="23">
        <f t="shared" si="231"/>
        <v>1754.2570278333337</v>
      </c>
      <c r="W1555" s="23">
        <f t="shared" si="231"/>
        <v>0</v>
      </c>
      <c r="X1555" s="23">
        <f t="shared" si="231"/>
        <v>0</v>
      </c>
      <c r="Y1555" s="86">
        <f>SUM(S1555:X1555)</f>
        <v>8771.165139166667</v>
      </c>
    </row>
    <row r="1556" spans="1:25" ht="36" outlineLevel="1">
      <c r="A1556" s="6" t="s">
        <v>456</v>
      </c>
      <c r="B1556" s="23">
        <f>B420+B450+B730+B841+B879+B1144+B1383+B1547+B889+B696++B515+B369</f>
        <v>1189</v>
      </c>
      <c r="C1556" s="23">
        <f>C420+C450+C730+C841+C879+C1144+C1383+C1547+C889+C696++C515+C369</f>
        <v>3430.9958749999996</v>
      </c>
      <c r="D1556" s="23">
        <f>D420+D450+D730+D841+D879+D1144+D1383+D1547+D889+D696++D515+D369</f>
        <v>1189</v>
      </c>
      <c r="E1556" s="23">
        <f>E420+E450+E730+E841+E879+E1144+E1383+E1547+E889+E696++E515+E369</f>
        <v>3430.9958749999996</v>
      </c>
      <c r="F1556" s="23" t="s">
        <v>433</v>
      </c>
      <c r="G1556" s="44">
        <f>G420+G450+G730+G841+G879+G1144+G1383+G1547+G889+G696++G515+G369</f>
        <v>0</v>
      </c>
      <c r="H1556" s="44">
        <f>H420+H450+H730+H841+H879+H1144+H1383+H1547+H889+H696++H515+H369</f>
        <v>0</v>
      </c>
      <c r="I1556" s="23" t="s">
        <v>433</v>
      </c>
      <c r="J1556" s="44">
        <f>J420+J450+J730+J841+J879+J1144+J1383+J1547+J889+J696++J515+J369</f>
        <v>0</v>
      </c>
      <c r="K1556" s="44">
        <f>K420+K450+K730+K841+K879+K1144+K1383+K1547+K889+K696++K515+K369</f>
        <v>0</v>
      </c>
      <c r="L1556" s="23" t="s">
        <v>433</v>
      </c>
      <c r="M1556" s="23">
        <f aca="true" t="shared" si="232" ref="M1556:X1556">M420+M450+M730+M841+M879+M1144+M1383+M1547+M889+M696++M515+M369</f>
        <v>2790</v>
      </c>
      <c r="N1556" s="23">
        <f t="shared" si="232"/>
        <v>19206</v>
      </c>
      <c r="O1556" s="23">
        <f t="shared" si="232"/>
        <v>3811.708559782609</v>
      </c>
      <c r="P1556" s="23">
        <f t="shared" si="232"/>
        <v>21</v>
      </c>
      <c r="Q1556" s="23">
        <f t="shared" si="232"/>
        <v>3180</v>
      </c>
      <c r="R1556" s="23">
        <f t="shared" si="232"/>
        <v>4778.69920225</v>
      </c>
      <c r="S1556" s="23">
        <f t="shared" si="232"/>
        <v>1911.4796809000002</v>
      </c>
      <c r="T1556" s="23">
        <f t="shared" si="232"/>
        <v>955.7398404500001</v>
      </c>
      <c r="U1556" s="23">
        <f t="shared" si="232"/>
        <v>955.73984045</v>
      </c>
      <c r="V1556" s="23">
        <f t="shared" si="232"/>
        <v>955.73984045</v>
      </c>
      <c r="W1556" s="23">
        <f t="shared" si="232"/>
        <v>0</v>
      </c>
      <c r="X1556" s="23">
        <f t="shared" si="232"/>
        <v>0</v>
      </c>
      <c r="Y1556" s="86">
        <f>SUM(S1556:X1556)</f>
        <v>4778.69920225</v>
      </c>
    </row>
    <row r="1557" spans="1:25" ht="36" outlineLevel="1">
      <c r="A1557" s="6" t="s">
        <v>450</v>
      </c>
      <c r="B1557" s="23">
        <f>B426+B453+B733+B854+B882+B1147+B1386+B705+B523+B374</f>
        <v>764</v>
      </c>
      <c r="C1557" s="23">
        <f aca="true" t="shared" si="233" ref="C1557:X1557">C426+C453+C733+C854+C882+C1147+C1386+C705+C523+C374</f>
        <v>2227.402416666667</v>
      </c>
      <c r="D1557" s="23">
        <f t="shared" si="233"/>
        <v>764</v>
      </c>
      <c r="E1557" s="23">
        <f t="shared" si="233"/>
        <v>2227.402416666667</v>
      </c>
      <c r="F1557" s="20" t="s">
        <v>433</v>
      </c>
      <c r="G1557" s="20">
        <f t="shared" si="233"/>
        <v>0</v>
      </c>
      <c r="H1557" s="20">
        <f t="shared" si="233"/>
        <v>0</v>
      </c>
      <c r="I1557" s="20" t="s">
        <v>433</v>
      </c>
      <c r="J1557" s="20">
        <f t="shared" si="233"/>
        <v>0</v>
      </c>
      <c r="K1557" s="20">
        <f t="shared" si="233"/>
        <v>0</v>
      </c>
      <c r="L1557" s="20" t="s">
        <v>433</v>
      </c>
      <c r="M1557" s="23">
        <f t="shared" si="233"/>
        <v>2815</v>
      </c>
      <c r="N1557" s="23">
        <f t="shared" si="233"/>
        <v>12200</v>
      </c>
      <c r="O1557" s="23">
        <f t="shared" si="233"/>
        <v>2395.3939311594204</v>
      </c>
      <c r="P1557" s="23">
        <f t="shared" si="233"/>
        <v>12</v>
      </c>
      <c r="Q1557" s="20">
        <f t="shared" si="233"/>
        <v>2295</v>
      </c>
      <c r="R1557" s="23">
        <f t="shared" si="233"/>
        <v>3039.093113833333</v>
      </c>
      <c r="S1557" s="23">
        <f t="shared" si="233"/>
        <v>1215.6372455333335</v>
      </c>
      <c r="T1557" s="23">
        <f t="shared" si="233"/>
        <v>607.8186227666667</v>
      </c>
      <c r="U1557" s="23">
        <f t="shared" si="233"/>
        <v>607.8186227666667</v>
      </c>
      <c r="V1557" s="23">
        <f t="shared" si="233"/>
        <v>607.8186227666667</v>
      </c>
      <c r="W1557" s="23">
        <f t="shared" si="233"/>
        <v>0</v>
      </c>
      <c r="X1557" s="23">
        <f t="shared" si="233"/>
        <v>0</v>
      </c>
      <c r="Y1557" s="86">
        <f>SUM(S1557:X1557)</f>
        <v>3039.0931138333335</v>
      </c>
    </row>
    <row r="1558" spans="1:25" ht="18">
      <c r="A1558" s="164" t="s">
        <v>477</v>
      </c>
      <c r="B1558" s="23">
        <f>SUM(B1554:B1557)</f>
        <v>38828</v>
      </c>
      <c r="C1558" s="23">
        <f aca="true" t="shared" si="234" ref="C1558:X1558">SUM(C1554:C1557)</f>
        <v>104258.84845833329</v>
      </c>
      <c r="D1558" s="23">
        <f t="shared" si="234"/>
        <v>37679</v>
      </c>
      <c r="E1558" s="23">
        <f t="shared" si="234"/>
        <v>102913.10845833331</v>
      </c>
      <c r="F1558" s="44" t="s">
        <v>433</v>
      </c>
      <c r="G1558" s="44">
        <f t="shared" si="234"/>
        <v>1</v>
      </c>
      <c r="H1558" s="44">
        <f t="shared" si="234"/>
        <v>500</v>
      </c>
      <c r="I1558" s="44" t="s">
        <v>433</v>
      </c>
      <c r="J1558" s="44">
        <f t="shared" si="234"/>
        <v>48</v>
      </c>
      <c r="K1558" s="44">
        <f t="shared" si="234"/>
        <v>858</v>
      </c>
      <c r="L1558" s="44" t="s">
        <v>433</v>
      </c>
      <c r="M1558" s="23">
        <f t="shared" si="234"/>
        <v>73404</v>
      </c>
      <c r="N1558" s="23">
        <f t="shared" si="234"/>
        <v>525280</v>
      </c>
      <c r="O1558" s="23">
        <f t="shared" si="234"/>
        <v>110492.06049818838</v>
      </c>
      <c r="P1558" s="23">
        <f t="shared" si="234"/>
        <v>456</v>
      </c>
      <c r="Q1558" s="23">
        <f t="shared" si="234"/>
        <v>92071.4</v>
      </c>
      <c r="R1558" s="23">
        <f t="shared" si="234"/>
        <v>146960.02329841664</v>
      </c>
      <c r="S1558" s="23">
        <f t="shared" si="234"/>
        <v>58087.40731936667</v>
      </c>
      <c r="T1558" s="23">
        <f>SUM(T1554:T1557)</f>
        <v>29043.754659683334</v>
      </c>
      <c r="U1558" s="23">
        <f>SUM(U1554:U1557)</f>
        <v>29043.754059683335</v>
      </c>
      <c r="V1558" s="23">
        <f t="shared" si="234"/>
        <v>29043.754059683335</v>
      </c>
      <c r="W1558" s="23">
        <f t="shared" si="234"/>
        <v>727</v>
      </c>
      <c r="X1558" s="23">
        <f t="shared" si="234"/>
        <v>1014.394</v>
      </c>
      <c r="Y1558" s="86">
        <f>SUM(S1558:X1558)</f>
        <v>146960.06409841665</v>
      </c>
    </row>
    <row r="1559" spans="1:25" ht="18">
      <c r="A1559" s="164"/>
      <c r="B1559" s="23">
        <f>B109+B376+B385+B427+B454+B524+B654+B706+B734+B785+B855+B883+B890+B1148+B1387+B1548</f>
        <v>38828</v>
      </c>
      <c r="C1559" s="23">
        <f>C109+C376+C385+C427+C454+C524+C654+C706+C734+C785+C855+C883+C890+C1148+C1387+C1548</f>
        <v>104258.84845833329</v>
      </c>
      <c r="D1559" s="23">
        <f>D109+D376+D385+D427+D454+D524+D654+D706+D734+D785+D855+D883+D890+D1148+D1387+D1548</f>
        <v>37679</v>
      </c>
      <c r="E1559" s="23">
        <f>E109+E376+E385+E427+E454+E524+E654+E706+E734+E785+E855+E883+E890+E1148+E1387+E1548</f>
        <v>102913.10845833331</v>
      </c>
      <c r="F1559" s="20" t="s">
        <v>433</v>
      </c>
      <c r="G1559" s="44">
        <f>G109+G376+G385+G427+G454+G524+G654+G706+G734+G785+G855+G883+G890+G1148+G1387+G1548</f>
        <v>1</v>
      </c>
      <c r="H1559" s="44">
        <f>H109+H376+H385+H427+H454+H524+H654+H706+H734+H785+H855+H883+H890+H1148+H1387+H1548</f>
        <v>500</v>
      </c>
      <c r="I1559" s="20" t="s">
        <v>433</v>
      </c>
      <c r="J1559" s="44">
        <f>J109+J376+J385+J427+J454+J524+J654+J706+J734+J785+J855+J883+J890+J1148+J1387+J1548</f>
        <v>48</v>
      </c>
      <c r="K1559" s="44">
        <f>K109+K376+K385+K427+K454+K524+K654+K706+K734+K785+K855+K883+K890+K1148+K1387+K1548</f>
        <v>858</v>
      </c>
      <c r="L1559" s="20" t="s">
        <v>433</v>
      </c>
      <c r="M1559" s="23">
        <f aca="true" t="shared" si="235" ref="M1559:W1559">M109+M376+M385+M427+M454+M524+M654+M706+M734+M785+M855+M883+M890+M1148+M1387+M1548</f>
        <v>73404</v>
      </c>
      <c r="N1559" s="23">
        <f t="shared" si="235"/>
        <v>525280</v>
      </c>
      <c r="O1559" s="23">
        <f t="shared" si="235"/>
        <v>110492.0604981884</v>
      </c>
      <c r="P1559" s="23">
        <f t="shared" si="235"/>
        <v>456</v>
      </c>
      <c r="Q1559" s="23">
        <f t="shared" si="235"/>
        <v>92071.4</v>
      </c>
      <c r="R1559" s="23">
        <f t="shared" si="235"/>
        <v>146960.02329841667</v>
      </c>
      <c r="S1559" s="23">
        <f t="shared" si="235"/>
        <v>58087.40731936667</v>
      </c>
      <c r="T1559" s="23">
        <f t="shared" si="235"/>
        <v>29043.75465968333</v>
      </c>
      <c r="U1559" s="23">
        <f t="shared" si="235"/>
        <v>29043.754059683335</v>
      </c>
      <c r="V1559" s="23">
        <f t="shared" si="235"/>
        <v>29043.754059683335</v>
      </c>
      <c r="W1559" s="23">
        <f t="shared" si="235"/>
        <v>727</v>
      </c>
      <c r="X1559" s="23">
        <v>1014.4</v>
      </c>
      <c r="Y1559" s="86"/>
    </row>
    <row r="1560" spans="1:25" ht="18">
      <c r="A1560" s="92"/>
      <c r="B1560" s="51"/>
      <c r="C1560" s="51"/>
      <c r="D1560" s="51"/>
      <c r="E1560" s="51"/>
      <c r="F1560" s="50"/>
      <c r="G1560" s="93"/>
      <c r="H1560" s="93"/>
      <c r="I1560" s="50"/>
      <c r="J1560" s="93"/>
      <c r="K1560" s="93"/>
      <c r="L1560" s="50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86"/>
    </row>
    <row r="1561" spans="1:25" ht="108" customHeight="1">
      <c r="A1561" s="148"/>
      <c r="B1561" s="148"/>
      <c r="C1561" s="148"/>
      <c r="D1561" s="148"/>
      <c r="E1561" s="148"/>
      <c r="F1561" s="148"/>
      <c r="G1561" s="148"/>
      <c r="H1561" s="148"/>
      <c r="I1561" s="148"/>
      <c r="J1561" s="97"/>
      <c r="K1561" s="97"/>
      <c r="L1561" s="98"/>
      <c r="M1561" s="96"/>
      <c r="N1561" s="96"/>
      <c r="O1561" s="96"/>
      <c r="P1561" s="96"/>
      <c r="Q1561" s="96"/>
      <c r="R1561" s="96"/>
      <c r="S1561" s="96"/>
      <c r="T1561" s="96"/>
      <c r="U1561" s="96"/>
      <c r="V1561" s="113"/>
      <c r="W1561" s="113"/>
      <c r="X1561" s="96"/>
      <c r="Y1561" s="86"/>
    </row>
    <row r="1562" spans="1:18" ht="18">
      <c r="A1562" s="45"/>
      <c r="R1562" s="86">
        <f>S1559+T1559+U1559+V1559+W1559+X1559</f>
        <v>146960.07009841665</v>
      </c>
    </row>
    <row r="1563" spans="1:19" ht="18.75">
      <c r="A1563" s="46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">
        <f>(R1554-W1554-X1554)*0.4</f>
        <v>51451.90073726667</v>
      </c>
    </row>
    <row r="1564" spans="1:19" ht="18.75">
      <c r="A1564" s="47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9"/>
      <c r="S1564" s="86">
        <f>S1554-S1563</f>
        <v>-0.04439999999885913</v>
      </c>
    </row>
    <row r="1565" spans="1:20" ht="18">
      <c r="A1565" s="45"/>
      <c r="B1565" s="50"/>
      <c r="C1565" s="50"/>
      <c r="D1565" s="50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48"/>
      <c r="P1565" s="48"/>
      <c r="Q1565" s="48"/>
      <c r="R1565" s="51"/>
      <c r="T1565" s="4">
        <f>T1559*2</f>
        <v>58087.50931936666</v>
      </c>
    </row>
    <row r="1566" spans="1:18" ht="18.75">
      <c r="A1566" s="46"/>
      <c r="B1566" s="50"/>
      <c r="C1566" s="50"/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1"/>
    </row>
    <row r="1567" spans="1:18" ht="18.75">
      <c r="A1567" s="46"/>
      <c r="B1567" s="50"/>
      <c r="C1567" s="50"/>
      <c r="D1567" s="50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</row>
    <row r="1568" spans="1:18" ht="18.75">
      <c r="A1568" s="50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</row>
    <row r="1569" spans="1:18" ht="18.75">
      <c r="A1569" s="47"/>
      <c r="B1569" s="48"/>
      <c r="C1569" s="48"/>
      <c r="D1569" s="48"/>
      <c r="E1569" s="48"/>
      <c r="F1569" s="48"/>
      <c r="G1569" s="48"/>
      <c r="H1569" s="48"/>
      <c r="I1569" s="48"/>
      <c r="J1569" s="50"/>
      <c r="K1569" s="50"/>
      <c r="L1569" s="50"/>
      <c r="M1569" s="48"/>
      <c r="N1569" s="48"/>
      <c r="O1569" s="48"/>
      <c r="P1569" s="48"/>
      <c r="Q1569" s="48"/>
      <c r="R1569" s="49"/>
    </row>
    <row r="1570" spans="1:18" ht="18">
      <c r="A1570" s="45"/>
      <c r="B1570" s="50"/>
      <c r="C1570" s="50"/>
      <c r="D1570" s="50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1"/>
    </row>
    <row r="1571" spans="1:18" ht="18.75">
      <c r="A1571" s="46"/>
      <c r="B1571" s="50"/>
      <c r="C1571" s="50"/>
      <c r="D1571" s="50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1"/>
    </row>
    <row r="1572" spans="1:18" ht="18.75">
      <c r="A1572" s="46"/>
      <c r="B1572" s="50"/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</row>
    <row r="1573" spans="1:18" ht="18.75">
      <c r="A1573" s="50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</row>
    <row r="1574" spans="1:18" ht="18.75">
      <c r="A1574" s="47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9"/>
    </row>
    <row r="1575" spans="1:18" ht="18">
      <c r="A1575" s="45"/>
      <c r="B1575" s="50"/>
      <c r="C1575" s="50"/>
      <c r="D1575" s="50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1"/>
    </row>
    <row r="1576" spans="1:18" ht="18.75">
      <c r="A1576" s="46"/>
      <c r="B1576" s="50"/>
      <c r="C1576" s="50"/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1"/>
    </row>
    <row r="1577" spans="1:18" ht="18.75">
      <c r="A1577" s="46"/>
      <c r="B1577" s="155"/>
      <c r="C1577" s="155"/>
      <c r="D1577" s="155"/>
      <c r="E1577" s="155"/>
      <c r="F1577" s="155"/>
      <c r="G1577" s="155"/>
      <c r="H1577" s="155"/>
      <c r="I1577" s="155"/>
      <c r="J1577" s="155"/>
      <c r="K1577" s="155"/>
      <c r="L1577" s="155"/>
      <c r="M1577" s="155"/>
      <c r="N1577" s="155"/>
      <c r="O1577" s="155"/>
      <c r="P1577" s="155"/>
      <c r="Q1577" s="155"/>
      <c r="R1577" s="154"/>
    </row>
    <row r="1578" spans="1:18" ht="18.75">
      <c r="A1578" s="46"/>
      <c r="B1578" s="155"/>
      <c r="C1578" s="155"/>
      <c r="D1578" s="155"/>
      <c r="E1578" s="155"/>
      <c r="F1578" s="155"/>
      <c r="G1578" s="155"/>
      <c r="H1578" s="155"/>
      <c r="I1578" s="155"/>
      <c r="J1578" s="155"/>
      <c r="K1578" s="155"/>
      <c r="L1578" s="155"/>
      <c r="M1578" s="155"/>
      <c r="N1578" s="155"/>
      <c r="O1578" s="155"/>
      <c r="P1578" s="155"/>
      <c r="Q1578" s="155"/>
      <c r="R1578" s="154"/>
    </row>
    <row r="1579" ht="18.75">
      <c r="A1579" s="46"/>
    </row>
  </sheetData>
  <sheetProtection/>
  <mergeCells count="1405">
    <mergeCell ref="A1561:I1561"/>
    <mergeCell ref="V1561:W1561"/>
    <mergeCell ref="A95:W95"/>
    <mergeCell ref="W2:X2"/>
    <mergeCell ref="A1534:A1535"/>
    <mergeCell ref="B1534:X1534"/>
    <mergeCell ref="A1536:A1537"/>
    <mergeCell ref="B1536:X1536"/>
    <mergeCell ref="B728:X728"/>
    <mergeCell ref="A726:A727"/>
    <mergeCell ref="B726:X726"/>
    <mergeCell ref="A871:A872"/>
    <mergeCell ref="B871:X871"/>
    <mergeCell ref="B859:X859"/>
    <mergeCell ref="A859:A860"/>
    <mergeCell ref="B861:X861"/>
    <mergeCell ref="B866:X866"/>
    <mergeCell ref="B864:X864"/>
    <mergeCell ref="B869:X869"/>
    <mergeCell ref="B850:X850"/>
    <mergeCell ref="A1339:A1340"/>
    <mergeCell ref="B1339:X1339"/>
    <mergeCell ref="B1320:X1320"/>
    <mergeCell ref="B1330:X1330"/>
    <mergeCell ref="B1328:X1328"/>
    <mergeCell ref="B1326:X1326"/>
    <mergeCell ref="A1322:A1323"/>
    <mergeCell ref="B1324:X1324"/>
    <mergeCell ref="B1322:X1322"/>
    <mergeCell ref="B1337:X1337"/>
    <mergeCell ref="B1291:X1291"/>
    <mergeCell ref="B1287:X1287"/>
    <mergeCell ref="A22:A23"/>
    <mergeCell ref="B22:X22"/>
    <mergeCell ref="B1289:X1289"/>
    <mergeCell ref="B1253:X1253"/>
    <mergeCell ref="B1257:X1257"/>
    <mergeCell ref="B1265:X1265"/>
    <mergeCell ref="B1263:X1263"/>
    <mergeCell ref="B1261:X1261"/>
    <mergeCell ref="B1379:X1379"/>
    <mergeCell ref="B1418:X1418"/>
    <mergeCell ref="B1416:X1416"/>
    <mergeCell ref="B1414:X1414"/>
    <mergeCell ref="B1411:X1411"/>
    <mergeCell ref="B1409:X1409"/>
    <mergeCell ref="B1402:X1402"/>
    <mergeCell ref="B1400:X1400"/>
    <mergeCell ref="A1388:X1388"/>
    <mergeCell ref="B1391:X1391"/>
    <mergeCell ref="B1361:X1361"/>
    <mergeCell ref="A1360:X1360"/>
    <mergeCell ref="B1385:X1385"/>
    <mergeCell ref="A1384:X1384"/>
    <mergeCell ref="B1373:X1373"/>
    <mergeCell ref="A1372:X1372"/>
    <mergeCell ref="B1365:X1365"/>
    <mergeCell ref="B1381:X1381"/>
    <mergeCell ref="B1377:X1377"/>
    <mergeCell ref="B1375:X1375"/>
    <mergeCell ref="B1335:X1335"/>
    <mergeCell ref="B1333:X1333"/>
    <mergeCell ref="B1363:X1363"/>
    <mergeCell ref="B1280:X1280"/>
    <mergeCell ref="B1307:X1307"/>
    <mergeCell ref="B1305:X1305"/>
    <mergeCell ref="B1302:X1302"/>
    <mergeCell ref="B1299:X1299"/>
    <mergeCell ref="B1297:X1297"/>
    <mergeCell ref="B1295:X1295"/>
    <mergeCell ref="B1293:X1293"/>
    <mergeCell ref="B1285:X1285"/>
    <mergeCell ref="B1283:X1283"/>
    <mergeCell ref="B1255:X1255"/>
    <mergeCell ref="B1271:X1271"/>
    <mergeCell ref="B1269:X1269"/>
    <mergeCell ref="B1267:X1267"/>
    <mergeCell ref="B1278:X1278"/>
    <mergeCell ref="B1276:X1276"/>
    <mergeCell ref="B1274:X1274"/>
    <mergeCell ref="B1259:X1259"/>
    <mergeCell ref="B1243:X1243"/>
    <mergeCell ref="B1241:X1241"/>
    <mergeCell ref="B1228:X1228"/>
    <mergeCell ref="B1251:X1251"/>
    <mergeCell ref="B1249:X1249"/>
    <mergeCell ref="B1247:X1247"/>
    <mergeCell ref="B1245:X1245"/>
    <mergeCell ref="B1220:X1220"/>
    <mergeCell ref="B1225:X1225"/>
    <mergeCell ref="B1223:X1223"/>
    <mergeCell ref="B1239:X1239"/>
    <mergeCell ref="B1237:X1237"/>
    <mergeCell ref="B1235:X1235"/>
    <mergeCell ref="B1232:X1232"/>
    <mergeCell ref="B1230:X1230"/>
    <mergeCell ref="B1210:X1210"/>
    <mergeCell ref="B1207:X1207"/>
    <mergeCell ref="B1205:X1205"/>
    <mergeCell ref="B1203:X1203"/>
    <mergeCell ref="B1218:X1218"/>
    <mergeCell ref="B1179:X1179"/>
    <mergeCell ref="B1177:X1177"/>
    <mergeCell ref="B1201:X1201"/>
    <mergeCell ref="B1199:X1199"/>
    <mergeCell ref="B1184:X1184"/>
    <mergeCell ref="B1182:X1182"/>
    <mergeCell ref="B1197:X1197"/>
    <mergeCell ref="B1186:X1186"/>
    <mergeCell ref="B1194:X1194"/>
    <mergeCell ref="B1192:X1192"/>
    <mergeCell ref="B1188:X1188"/>
    <mergeCell ref="B1123:X1123"/>
    <mergeCell ref="B1175:X1175"/>
    <mergeCell ref="B1173:X1173"/>
    <mergeCell ref="B1166:X1166"/>
    <mergeCell ref="B1164:X1164"/>
    <mergeCell ref="B1171:X1171"/>
    <mergeCell ref="B1169:X1169"/>
    <mergeCell ref="B1121:X1121"/>
    <mergeCell ref="B1119:X1119"/>
    <mergeCell ref="B1162:X1162"/>
    <mergeCell ref="B1160:X1160"/>
    <mergeCell ref="B1158:X1158"/>
    <mergeCell ref="B1156:X1156"/>
    <mergeCell ref="B1154:X1154"/>
    <mergeCell ref="B1152:X1152"/>
    <mergeCell ref="A1151:X1151"/>
    <mergeCell ref="A1162:A1163"/>
    <mergeCell ref="B1101:X1101"/>
    <mergeCell ref="B1098:X1098"/>
    <mergeCell ref="B1096:X1096"/>
    <mergeCell ref="B1142:X1142"/>
    <mergeCell ref="B1140:X1140"/>
    <mergeCell ref="A1139:X1139"/>
    <mergeCell ref="B1136:X1136"/>
    <mergeCell ref="B1134:X1134"/>
    <mergeCell ref="A1133:X1133"/>
    <mergeCell ref="B1127:X1127"/>
    <mergeCell ref="B1109:X1109"/>
    <mergeCell ref="B1107:X1107"/>
    <mergeCell ref="B1105:X1105"/>
    <mergeCell ref="B1103:X1103"/>
    <mergeCell ref="B1092:X1092"/>
    <mergeCell ref="B1089:X1089"/>
    <mergeCell ref="B1087:X1087"/>
    <mergeCell ref="B1084:X1084"/>
    <mergeCell ref="B1082:X1082"/>
    <mergeCell ref="B1071:X1071"/>
    <mergeCell ref="B1069:X1069"/>
    <mergeCell ref="B1073:X1073"/>
    <mergeCell ref="B1080:X1080"/>
    <mergeCell ref="B1078:X1078"/>
    <mergeCell ref="B1076:X1076"/>
    <mergeCell ref="B1050:X1050"/>
    <mergeCell ref="B1048:X1048"/>
    <mergeCell ref="B1046:X1046"/>
    <mergeCell ref="B1067:X1067"/>
    <mergeCell ref="B1065:X1065"/>
    <mergeCell ref="B1063:X1063"/>
    <mergeCell ref="B1060:X1060"/>
    <mergeCell ref="B1058:X1058"/>
    <mergeCell ref="B1056:X1056"/>
    <mergeCell ref="B1054:X1054"/>
    <mergeCell ref="B1052:X1052"/>
    <mergeCell ref="B985:X985"/>
    <mergeCell ref="B1030:X1030"/>
    <mergeCell ref="B1028:X1028"/>
    <mergeCell ref="B1026:X1026"/>
    <mergeCell ref="B1004:X1004"/>
    <mergeCell ref="B987:X987"/>
    <mergeCell ref="B1043:X1043"/>
    <mergeCell ref="B1041:X1041"/>
    <mergeCell ref="B1038:X1038"/>
    <mergeCell ref="B1036:X1036"/>
    <mergeCell ref="B1034:X1034"/>
    <mergeCell ref="B1010:X1010"/>
    <mergeCell ref="B1008:X1008"/>
    <mergeCell ref="B981:X981"/>
    <mergeCell ref="B978:X978"/>
    <mergeCell ref="B1024:X1024"/>
    <mergeCell ref="B1022:X1022"/>
    <mergeCell ref="B1019:X1019"/>
    <mergeCell ref="B1017:X1017"/>
    <mergeCell ref="B1015:X1015"/>
    <mergeCell ref="B1012:X1012"/>
    <mergeCell ref="B983:X983"/>
    <mergeCell ref="B1006:X1006"/>
    <mergeCell ref="B958:X958"/>
    <mergeCell ref="B951:X951"/>
    <mergeCell ref="B949:X949"/>
    <mergeCell ref="B1001:X1001"/>
    <mergeCell ref="B999:X999"/>
    <mergeCell ref="B997:X997"/>
    <mergeCell ref="B995:X995"/>
    <mergeCell ref="B993:X993"/>
    <mergeCell ref="B991:X991"/>
    <mergeCell ref="B989:X989"/>
    <mergeCell ref="B967:X967"/>
    <mergeCell ref="B965:X965"/>
    <mergeCell ref="B963:X963"/>
    <mergeCell ref="B961:X961"/>
    <mergeCell ref="B976:X976"/>
    <mergeCell ref="B974:X974"/>
    <mergeCell ref="B972:X972"/>
    <mergeCell ref="B970:X970"/>
    <mergeCell ref="B927:X927"/>
    <mergeCell ref="B925:X925"/>
    <mergeCell ref="B922:X922"/>
    <mergeCell ref="B920:X920"/>
    <mergeCell ref="B947:X947"/>
    <mergeCell ref="B944:X944"/>
    <mergeCell ref="B942:X942"/>
    <mergeCell ref="B940:X940"/>
    <mergeCell ref="B894:X894"/>
    <mergeCell ref="A893:X893"/>
    <mergeCell ref="B907:X907"/>
    <mergeCell ref="B905:X905"/>
    <mergeCell ref="A903:A904"/>
    <mergeCell ref="A896:A897"/>
    <mergeCell ref="A898:A899"/>
    <mergeCell ref="B900:X900"/>
    <mergeCell ref="B898:X898"/>
    <mergeCell ref="B896:X896"/>
    <mergeCell ref="A914:A915"/>
    <mergeCell ref="A916:A917"/>
    <mergeCell ref="A905:A906"/>
    <mergeCell ref="B918:X918"/>
    <mergeCell ref="B911:X911"/>
    <mergeCell ref="A911:A912"/>
    <mergeCell ref="B909:X909"/>
    <mergeCell ref="B916:X916"/>
    <mergeCell ref="B914:X914"/>
    <mergeCell ref="B881:X881"/>
    <mergeCell ref="A880:X880"/>
    <mergeCell ref="B878:X878"/>
    <mergeCell ref="A877:X877"/>
    <mergeCell ref="B875:X875"/>
    <mergeCell ref="A874:X874"/>
    <mergeCell ref="A858:X858"/>
    <mergeCell ref="B852:X852"/>
    <mergeCell ref="A852:A853"/>
    <mergeCell ref="A856:X856"/>
    <mergeCell ref="A866:A867"/>
    <mergeCell ref="A869:A870"/>
    <mergeCell ref="A875:A876"/>
    <mergeCell ref="B847:X847"/>
    <mergeCell ref="B845:X845"/>
    <mergeCell ref="B804:X804"/>
    <mergeCell ref="B843:X843"/>
    <mergeCell ref="A842:X842"/>
    <mergeCell ref="B839:X839"/>
    <mergeCell ref="B837:X837"/>
    <mergeCell ref="A836:X836"/>
    <mergeCell ref="B833:X833"/>
    <mergeCell ref="A829:A830"/>
    <mergeCell ref="B794:X794"/>
    <mergeCell ref="B791:X791"/>
    <mergeCell ref="A828:X828"/>
    <mergeCell ref="B825:X825"/>
    <mergeCell ref="B823:X823"/>
    <mergeCell ref="A825:A826"/>
    <mergeCell ref="A817:A818"/>
    <mergeCell ref="A823:A824"/>
    <mergeCell ref="A791:A792"/>
    <mergeCell ref="A794:A795"/>
    <mergeCell ref="B789:X789"/>
    <mergeCell ref="A788:X788"/>
    <mergeCell ref="B819:X819"/>
    <mergeCell ref="B817:X817"/>
    <mergeCell ref="B815:X815"/>
    <mergeCell ref="B811:X811"/>
    <mergeCell ref="B809:X809"/>
    <mergeCell ref="B796:X796"/>
    <mergeCell ref="A809:A810"/>
    <mergeCell ref="A789:A790"/>
    <mergeCell ref="B437:X437"/>
    <mergeCell ref="A452:A453"/>
    <mergeCell ref="A449:A450"/>
    <mergeCell ref="A462:A463"/>
    <mergeCell ref="B452:X452"/>
    <mergeCell ref="A460:A461"/>
    <mergeCell ref="A457:X457"/>
    <mergeCell ref="B389:X389"/>
    <mergeCell ref="A391:A392"/>
    <mergeCell ref="B470:X470"/>
    <mergeCell ref="B468:X468"/>
    <mergeCell ref="B418:X418"/>
    <mergeCell ref="B416:X416"/>
    <mergeCell ref="A455:X455"/>
    <mergeCell ref="B462:X462"/>
    <mergeCell ref="B460:X460"/>
    <mergeCell ref="B458:X458"/>
    <mergeCell ref="B399:X399"/>
    <mergeCell ref="B394:X394"/>
    <mergeCell ref="B391:X391"/>
    <mergeCell ref="A396:A397"/>
    <mergeCell ref="A394:A395"/>
    <mergeCell ref="B396:X396"/>
    <mergeCell ref="A408:A409"/>
    <mergeCell ref="A416:A417"/>
    <mergeCell ref="B408:X408"/>
    <mergeCell ref="A415:X415"/>
    <mergeCell ref="B412:X412"/>
    <mergeCell ref="A411:X411"/>
    <mergeCell ref="B264:X264"/>
    <mergeCell ref="B267:X267"/>
    <mergeCell ref="B431:X431"/>
    <mergeCell ref="A430:X430"/>
    <mergeCell ref="B424:X424"/>
    <mergeCell ref="B422:X422"/>
    <mergeCell ref="A431:A432"/>
    <mergeCell ref="A421:X421"/>
    <mergeCell ref="B403:X403"/>
    <mergeCell ref="B401:X401"/>
    <mergeCell ref="B236:X236"/>
    <mergeCell ref="A264:A265"/>
    <mergeCell ref="A267:A268"/>
    <mergeCell ref="B275:X275"/>
    <mergeCell ref="B273:X273"/>
    <mergeCell ref="B271:X271"/>
    <mergeCell ref="B269:X269"/>
    <mergeCell ref="A271:A272"/>
    <mergeCell ref="A273:A274"/>
    <mergeCell ref="A260:A261"/>
    <mergeCell ref="B247:X247"/>
    <mergeCell ref="B244:X244"/>
    <mergeCell ref="B242:X242"/>
    <mergeCell ref="A247:A248"/>
    <mergeCell ref="A244:A245"/>
    <mergeCell ref="B240:X240"/>
    <mergeCell ref="B238:X238"/>
    <mergeCell ref="B198:X198"/>
    <mergeCell ref="B196:X196"/>
    <mergeCell ref="B230:X230"/>
    <mergeCell ref="B228:X228"/>
    <mergeCell ref="B226:X226"/>
    <mergeCell ref="B224:X224"/>
    <mergeCell ref="B222:X222"/>
    <mergeCell ref="B219:X219"/>
    <mergeCell ref="B217:X217"/>
    <mergeCell ref="B214:X214"/>
    <mergeCell ref="B212:X212"/>
    <mergeCell ref="A189:A190"/>
    <mergeCell ref="A191:A192"/>
    <mergeCell ref="B194:X194"/>
    <mergeCell ref="B191:X191"/>
    <mergeCell ref="A196:A197"/>
    <mergeCell ref="A198:A199"/>
    <mergeCell ref="A194:A195"/>
    <mergeCell ref="B210:X210"/>
    <mergeCell ref="B208:X208"/>
    <mergeCell ref="A214:A215"/>
    <mergeCell ref="A186:A187"/>
    <mergeCell ref="B189:X189"/>
    <mergeCell ref="B186:X186"/>
    <mergeCell ref="A208:A209"/>
    <mergeCell ref="A210:A211"/>
    <mergeCell ref="A212:A213"/>
    <mergeCell ref="A121:A122"/>
    <mergeCell ref="A156:A157"/>
    <mergeCell ref="A158:A159"/>
    <mergeCell ref="A146:A147"/>
    <mergeCell ref="A151:A152"/>
    <mergeCell ref="A128:A129"/>
    <mergeCell ref="A126:A127"/>
    <mergeCell ref="B165:X165"/>
    <mergeCell ref="B163:X163"/>
    <mergeCell ref="A148:A149"/>
    <mergeCell ref="B146:X146"/>
    <mergeCell ref="B39:X39"/>
    <mergeCell ref="B63:X63"/>
    <mergeCell ref="A55:A56"/>
    <mergeCell ref="A57:A58"/>
    <mergeCell ref="A61:A62"/>
    <mergeCell ref="B55:X55"/>
    <mergeCell ref="A63:A64"/>
    <mergeCell ref="A39:A40"/>
    <mergeCell ref="B119:X119"/>
    <mergeCell ref="B121:X121"/>
    <mergeCell ref="B123:X123"/>
    <mergeCell ref="B206:X206"/>
    <mergeCell ref="B204:X204"/>
    <mergeCell ref="B175:X175"/>
    <mergeCell ref="B184:X184"/>
    <mergeCell ref="B200:X200"/>
    <mergeCell ref="B169:X169"/>
    <mergeCell ref="B167:X167"/>
    <mergeCell ref="B106:X106"/>
    <mergeCell ref="A112:X112"/>
    <mergeCell ref="B113:X113"/>
    <mergeCell ref="B115:X115"/>
    <mergeCell ref="A106:A107"/>
    <mergeCell ref="B117:X117"/>
    <mergeCell ref="A143:A144"/>
    <mergeCell ref="A161:A162"/>
    <mergeCell ref="B173:X173"/>
    <mergeCell ref="A173:A174"/>
    <mergeCell ref="B161:X161"/>
    <mergeCell ref="A132:A133"/>
    <mergeCell ref="A134:A135"/>
    <mergeCell ref="B148:X148"/>
    <mergeCell ref="B137:X137"/>
    <mergeCell ref="B177:X177"/>
    <mergeCell ref="B182:X182"/>
    <mergeCell ref="B180:X180"/>
    <mergeCell ref="A177:A178"/>
    <mergeCell ref="A700:A701"/>
    <mergeCell ref="A698:A699"/>
    <mergeCell ref="A615:A616"/>
    <mergeCell ref="A617:A618"/>
    <mergeCell ref="A664:A665"/>
    <mergeCell ref="A658:A659"/>
    <mergeCell ref="A660:A661"/>
    <mergeCell ref="A620:A621"/>
    <mergeCell ref="A643:A644"/>
    <mergeCell ref="B560:X560"/>
    <mergeCell ref="A651:X651"/>
    <mergeCell ref="B617:X617"/>
    <mergeCell ref="A657:X657"/>
    <mergeCell ref="A652:A653"/>
    <mergeCell ref="B615:X615"/>
    <mergeCell ref="A655:X655"/>
    <mergeCell ref="B652:X652"/>
    <mergeCell ref="A580:A581"/>
    <mergeCell ref="A610:A611"/>
    <mergeCell ref="B466:X466"/>
    <mergeCell ref="B464:X464"/>
    <mergeCell ref="B483:X483"/>
    <mergeCell ref="B481:X481"/>
    <mergeCell ref="B479:X479"/>
    <mergeCell ref="B477:X477"/>
    <mergeCell ref="B472:X472"/>
    <mergeCell ref="A254:A255"/>
    <mergeCell ref="B249:X249"/>
    <mergeCell ref="A377:X377"/>
    <mergeCell ref="A249:A250"/>
    <mergeCell ref="A262:A263"/>
    <mergeCell ref="B262:X262"/>
    <mergeCell ref="B260:X260"/>
    <mergeCell ref="B252:X252"/>
    <mergeCell ref="B301:X301"/>
    <mergeCell ref="B299:X299"/>
    <mergeCell ref="A386:X386"/>
    <mergeCell ref="A277:A278"/>
    <mergeCell ref="B277:X277"/>
    <mergeCell ref="A380:A381"/>
    <mergeCell ref="A382:A383"/>
    <mergeCell ref="B382:X382"/>
    <mergeCell ref="B380:X380"/>
    <mergeCell ref="A379:X379"/>
    <mergeCell ref="A298:X298"/>
    <mergeCell ref="A299:A300"/>
    <mergeCell ref="A490:A491"/>
    <mergeCell ref="A12:X12"/>
    <mergeCell ref="A446:A447"/>
    <mergeCell ref="A440:A441"/>
    <mergeCell ref="A442:A443"/>
    <mergeCell ref="B442:X442"/>
    <mergeCell ref="B440:X440"/>
    <mergeCell ref="A439:X439"/>
    <mergeCell ref="A401:A402"/>
    <mergeCell ref="B36:X36"/>
    <mergeCell ref="B798:X798"/>
    <mergeCell ref="B490:X490"/>
    <mergeCell ref="B488:X488"/>
    <mergeCell ref="A786:X786"/>
    <mergeCell ref="B497:X497"/>
    <mergeCell ref="B495:X495"/>
    <mergeCell ref="B493:X493"/>
    <mergeCell ref="A707:X707"/>
    <mergeCell ref="B700:X700"/>
    <mergeCell ref="A488:A489"/>
    <mergeCell ref="A15:A16"/>
    <mergeCell ref="A493:A494"/>
    <mergeCell ref="B1398:X1398"/>
    <mergeCell ref="A716:A717"/>
    <mergeCell ref="A720:A721"/>
    <mergeCell ref="A728:A729"/>
    <mergeCell ref="A796:A797"/>
    <mergeCell ref="A798:A799"/>
    <mergeCell ref="A800:A801"/>
    <mergeCell ref="B800:X800"/>
    <mergeCell ref="A1550:A1553"/>
    <mergeCell ref="S6:X6"/>
    <mergeCell ref="B13:X13"/>
    <mergeCell ref="B15:X15"/>
    <mergeCell ref="B18:X18"/>
    <mergeCell ref="S7:V7"/>
    <mergeCell ref="A11:X11"/>
    <mergeCell ref="O6:O8"/>
    <mergeCell ref="A18:A19"/>
    <mergeCell ref="A13:A14"/>
    <mergeCell ref="B1476:X1476"/>
    <mergeCell ref="A1558:A1559"/>
    <mergeCell ref="A1546:A1547"/>
    <mergeCell ref="A1529:A1530"/>
    <mergeCell ref="A1531:A1532"/>
    <mergeCell ref="A1549:X1549"/>
    <mergeCell ref="B1546:X1546"/>
    <mergeCell ref="A1545:X1545"/>
    <mergeCell ref="B1531:X1531"/>
    <mergeCell ref="B1529:X1529"/>
    <mergeCell ref="A1398:A1399"/>
    <mergeCell ref="A1513:A1514"/>
    <mergeCell ref="B1439:X1439"/>
    <mergeCell ref="B1436:X1436"/>
    <mergeCell ref="B1485:X1485"/>
    <mergeCell ref="B1482:X1482"/>
    <mergeCell ref="B1480:X1480"/>
    <mergeCell ref="A1471:A1472"/>
    <mergeCell ref="A1474:A1475"/>
    <mergeCell ref="A1476:A1477"/>
    <mergeCell ref="A1511:A1512"/>
    <mergeCell ref="A1519:A1520"/>
    <mergeCell ref="B770:X770"/>
    <mergeCell ref="B1429:X1429"/>
    <mergeCell ref="B1427:X1427"/>
    <mergeCell ref="B1425:X1425"/>
    <mergeCell ref="B1423:X1423"/>
    <mergeCell ref="A891:X891"/>
    <mergeCell ref="B1393:X1393"/>
    <mergeCell ref="A1365:A1366"/>
    <mergeCell ref="A1523:A1524"/>
    <mergeCell ref="A1525:A1526"/>
    <mergeCell ref="A5:X5"/>
    <mergeCell ref="A1494:A1495"/>
    <mergeCell ref="A1497:A1498"/>
    <mergeCell ref="A1517:A1518"/>
    <mergeCell ref="A1499:A1500"/>
    <mergeCell ref="A1501:A1502"/>
    <mergeCell ref="B1478:X1478"/>
    <mergeCell ref="B1474:X1474"/>
    <mergeCell ref="A4:X4"/>
    <mergeCell ref="A1490:A1491"/>
    <mergeCell ref="A1487:A1488"/>
    <mergeCell ref="A1492:A1493"/>
    <mergeCell ref="B1492:X1492"/>
    <mergeCell ref="B1490:W1490"/>
    <mergeCell ref="B1487:X1487"/>
    <mergeCell ref="A1478:A1479"/>
    <mergeCell ref="A1485:A1486"/>
    <mergeCell ref="A1482:A1483"/>
    <mergeCell ref="B1471:X1471"/>
    <mergeCell ref="A1465:A1466"/>
    <mergeCell ref="A1467:A1468"/>
    <mergeCell ref="A1469:A1470"/>
    <mergeCell ref="B1469:X1469"/>
    <mergeCell ref="B1467:X1467"/>
    <mergeCell ref="B1465:X1465"/>
    <mergeCell ref="A1458:A1459"/>
    <mergeCell ref="A1460:A1461"/>
    <mergeCell ref="A1462:A1463"/>
    <mergeCell ref="B1462:X1462"/>
    <mergeCell ref="B1460:X1460"/>
    <mergeCell ref="B1458:X1458"/>
    <mergeCell ref="A1448:A1449"/>
    <mergeCell ref="A1451:A1452"/>
    <mergeCell ref="A1456:A1457"/>
    <mergeCell ref="B1456:X1456"/>
    <mergeCell ref="B1453:X1453"/>
    <mergeCell ref="B1451:X1451"/>
    <mergeCell ref="B1448:X1448"/>
    <mergeCell ref="B1446:X1446"/>
    <mergeCell ref="B1444:X1444"/>
    <mergeCell ref="A1436:A1437"/>
    <mergeCell ref="A1439:A1440"/>
    <mergeCell ref="B1441:X1441"/>
    <mergeCell ref="A1444:A1445"/>
    <mergeCell ref="A1446:A1447"/>
    <mergeCell ref="A1425:A1426"/>
    <mergeCell ref="B1406:X1406"/>
    <mergeCell ref="B1404:X1404"/>
    <mergeCell ref="A1441:A1442"/>
    <mergeCell ref="A1427:A1428"/>
    <mergeCell ref="A1429:A1430"/>
    <mergeCell ref="A1418:A1419"/>
    <mergeCell ref="A1423:A1424"/>
    <mergeCell ref="A1414:A1415"/>
    <mergeCell ref="A1416:A1417"/>
    <mergeCell ref="A1420:A1421"/>
    <mergeCell ref="A388:X388"/>
    <mergeCell ref="A269:A270"/>
    <mergeCell ref="A275:A276"/>
    <mergeCell ref="A1373:A1374"/>
    <mergeCell ref="A1391:A1392"/>
    <mergeCell ref="B1420:X1420"/>
    <mergeCell ref="A804:A805"/>
    <mergeCell ref="A806:A807"/>
    <mergeCell ref="A819:A820"/>
    <mergeCell ref="A24:A25"/>
    <mergeCell ref="A43:A44"/>
    <mergeCell ref="A41:A42"/>
    <mergeCell ref="A228:A229"/>
    <mergeCell ref="A137:A138"/>
    <mergeCell ref="A141:A142"/>
    <mergeCell ref="A224:A225"/>
    <mergeCell ref="A180:A181"/>
    <mergeCell ref="A182:A183"/>
    <mergeCell ref="A175:A176"/>
    <mergeCell ref="A230:A231"/>
    <mergeCell ref="A232:A233"/>
    <mergeCell ref="A234:A235"/>
    <mergeCell ref="B24:X24"/>
    <mergeCell ref="B41:X41"/>
    <mergeCell ref="B43:X43"/>
    <mergeCell ref="A219:A220"/>
    <mergeCell ref="A200:A201"/>
    <mergeCell ref="A202:A203"/>
    <mergeCell ref="B202:X202"/>
    <mergeCell ref="B234:X234"/>
    <mergeCell ref="B232:X232"/>
    <mergeCell ref="A226:A227"/>
    <mergeCell ref="M1577:M1578"/>
    <mergeCell ref="B1577:B1578"/>
    <mergeCell ref="C1577:C1578"/>
    <mergeCell ref="D1577:D1578"/>
    <mergeCell ref="E1577:E1578"/>
    <mergeCell ref="F1577:F1578"/>
    <mergeCell ref="G1577:G1578"/>
    <mergeCell ref="R1577:R1578"/>
    <mergeCell ref="H1577:H1578"/>
    <mergeCell ref="I1577:I1578"/>
    <mergeCell ref="J1577:J1578"/>
    <mergeCell ref="K1577:K1578"/>
    <mergeCell ref="L1577:L1578"/>
    <mergeCell ref="N1577:N1578"/>
    <mergeCell ref="O1577:O1578"/>
    <mergeCell ref="P1577:P1578"/>
    <mergeCell ref="Q1577:Q1578"/>
    <mergeCell ref="A1434:A1435"/>
    <mergeCell ref="A1390:X1390"/>
    <mergeCell ref="A1431:A1432"/>
    <mergeCell ref="B1431:X1431"/>
    <mergeCell ref="A1400:A1401"/>
    <mergeCell ref="B1434:X1434"/>
    <mergeCell ref="A1404:A1405"/>
    <mergeCell ref="A1406:A1407"/>
    <mergeCell ref="A1411:A1412"/>
    <mergeCell ref="A1409:A1410"/>
    <mergeCell ref="A815:A816"/>
    <mergeCell ref="A831:A832"/>
    <mergeCell ref="A833:A834"/>
    <mergeCell ref="B806:X806"/>
    <mergeCell ref="A811:A812"/>
    <mergeCell ref="B831:X831"/>
    <mergeCell ref="B829:X829"/>
    <mergeCell ref="B1494:X1494"/>
    <mergeCell ref="B1508:X1508"/>
    <mergeCell ref="B1506:X1506"/>
    <mergeCell ref="A1505:X1505"/>
    <mergeCell ref="B1501:X1501"/>
    <mergeCell ref="B1499:X1499"/>
    <mergeCell ref="A1508:A1509"/>
    <mergeCell ref="A1506:A1507"/>
    <mergeCell ref="A837:A838"/>
    <mergeCell ref="A839:A840"/>
    <mergeCell ref="B1497:X1497"/>
    <mergeCell ref="B1525:X1525"/>
    <mergeCell ref="B1523:X1523"/>
    <mergeCell ref="B1521:X1521"/>
    <mergeCell ref="B1519:X1519"/>
    <mergeCell ref="B1517:X1517"/>
    <mergeCell ref="B1515:X1515"/>
    <mergeCell ref="B1513:X1513"/>
    <mergeCell ref="A1480:A1481"/>
    <mergeCell ref="A1521:A1522"/>
    <mergeCell ref="A1515:A1516"/>
    <mergeCell ref="A861:A862"/>
    <mergeCell ref="A864:A865"/>
    <mergeCell ref="A1335:A1336"/>
    <mergeCell ref="A1363:A1364"/>
    <mergeCell ref="A1330:A1331"/>
    <mergeCell ref="A1333:A1334"/>
    <mergeCell ref="A1361:A1362"/>
    <mergeCell ref="A1393:A1394"/>
    <mergeCell ref="A1381:A1382"/>
    <mergeCell ref="A1375:A1376"/>
    <mergeCell ref="A1377:A1378"/>
    <mergeCell ref="A1379:A1380"/>
    <mergeCell ref="A1385:A1386"/>
    <mergeCell ref="A1337:A1338"/>
    <mergeCell ref="A1299:A1300"/>
    <mergeCell ref="A1302:A1303"/>
    <mergeCell ref="B1317:X1317"/>
    <mergeCell ref="B1311:X1311"/>
    <mergeCell ref="B1309:X1309"/>
    <mergeCell ref="A1313:A1314"/>
    <mergeCell ref="B1315:X1315"/>
    <mergeCell ref="B1313:X1313"/>
    <mergeCell ref="A1328:A1329"/>
    <mergeCell ref="A1326:A1327"/>
    <mergeCell ref="A1324:A1325"/>
    <mergeCell ref="A1320:A1321"/>
    <mergeCell ref="A1297:A1298"/>
    <mergeCell ref="A1305:A1306"/>
    <mergeCell ref="A1309:A1310"/>
    <mergeCell ref="A1315:A1316"/>
    <mergeCell ref="A1317:A1318"/>
    <mergeCell ref="A1307:A1308"/>
    <mergeCell ref="A1311:A1312"/>
    <mergeCell ref="A1291:A1292"/>
    <mergeCell ref="A1293:A1294"/>
    <mergeCell ref="A1295:A1296"/>
    <mergeCell ref="A1235:A1236"/>
    <mergeCell ref="A1237:A1238"/>
    <mergeCell ref="A1280:A1281"/>
    <mergeCell ref="A1261:A1262"/>
    <mergeCell ref="A1283:A1284"/>
    <mergeCell ref="A1285:A1286"/>
    <mergeCell ref="A1274:A1275"/>
    <mergeCell ref="A1232:A1233"/>
    <mergeCell ref="A1289:A1290"/>
    <mergeCell ref="A1263:A1264"/>
    <mergeCell ref="A1265:A1266"/>
    <mergeCell ref="A1267:A1268"/>
    <mergeCell ref="A1269:A1270"/>
    <mergeCell ref="A1276:A1277"/>
    <mergeCell ref="A1271:A1272"/>
    <mergeCell ref="A1287:A1288"/>
    <mergeCell ref="A1278:A1279"/>
    <mergeCell ref="A1239:A1240"/>
    <mergeCell ref="A1259:A1260"/>
    <mergeCell ref="A1253:A1254"/>
    <mergeCell ref="A1255:A1256"/>
    <mergeCell ref="A1241:A1242"/>
    <mergeCell ref="A1243:A1244"/>
    <mergeCell ref="A1245:A1246"/>
    <mergeCell ref="A1247:A1248"/>
    <mergeCell ref="A1249:A1250"/>
    <mergeCell ref="A1251:A1252"/>
    <mergeCell ref="A1257:A1258"/>
    <mergeCell ref="A1230:A1231"/>
    <mergeCell ref="A1220:A1221"/>
    <mergeCell ref="B1212:X1212"/>
    <mergeCell ref="B1214:X1214"/>
    <mergeCell ref="A1212:A1213"/>
    <mergeCell ref="A1214:A1215"/>
    <mergeCell ref="B1216:X1216"/>
    <mergeCell ref="A1216:A1217"/>
    <mergeCell ref="A1223:A1224"/>
    <mergeCell ref="A1228:A1229"/>
    <mergeCell ref="A1210:A1211"/>
    <mergeCell ref="A1207:A1208"/>
    <mergeCell ref="A1218:A1219"/>
    <mergeCell ref="A1225:A1226"/>
    <mergeCell ref="A1171:A1172"/>
    <mergeCell ref="A1173:A1174"/>
    <mergeCell ref="A1175:A1176"/>
    <mergeCell ref="A1177:A1178"/>
    <mergeCell ref="A1184:A1185"/>
    <mergeCell ref="A1179:A1180"/>
    <mergeCell ref="A1182:A1183"/>
    <mergeCell ref="A1186:A1187"/>
    <mergeCell ref="A1188:A1189"/>
    <mergeCell ref="A1192:A1193"/>
    <mergeCell ref="A1203:A1204"/>
    <mergeCell ref="A1194:A1195"/>
    <mergeCell ref="A1205:A1206"/>
    <mergeCell ref="A1197:A1198"/>
    <mergeCell ref="A1199:A1200"/>
    <mergeCell ref="A1201:A1202"/>
    <mergeCell ref="A1164:A1165"/>
    <mergeCell ref="A1169:A1170"/>
    <mergeCell ref="A1166:A1167"/>
    <mergeCell ref="A1152:A1153"/>
    <mergeCell ref="A1154:A1155"/>
    <mergeCell ref="A1156:A1157"/>
    <mergeCell ref="A1158:A1159"/>
    <mergeCell ref="A1160:A1161"/>
    <mergeCell ref="A1125:A1126"/>
    <mergeCell ref="A1127:A1128"/>
    <mergeCell ref="A1134:A1135"/>
    <mergeCell ref="A1149:X1149"/>
    <mergeCell ref="A1145:X1145"/>
    <mergeCell ref="A1140:A1141"/>
    <mergeCell ref="A1136:A1137"/>
    <mergeCell ref="A1105:A1106"/>
    <mergeCell ref="A1107:A1108"/>
    <mergeCell ref="B1146:W1146"/>
    <mergeCell ref="A1142:A1143"/>
    <mergeCell ref="A1146:A1147"/>
    <mergeCell ref="B1125:X1125"/>
    <mergeCell ref="B1116:X1116"/>
    <mergeCell ref="B1114:X1114"/>
    <mergeCell ref="B1112:X1112"/>
    <mergeCell ref="A1121:A1122"/>
    <mergeCell ref="A1114:A1115"/>
    <mergeCell ref="A1116:A1117"/>
    <mergeCell ref="A1109:A1110"/>
    <mergeCell ref="A1112:A1113"/>
    <mergeCell ref="A1123:A1124"/>
    <mergeCell ref="A1084:A1085"/>
    <mergeCell ref="A1087:A1088"/>
    <mergeCell ref="A1089:A1090"/>
    <mergeCell ref="A1092:A1093"/>
    <mergeCell ref="A1098:A1099"/>
    <mergeCell ref="A1101:A1102"/>
    <mergeCell ref="A1094:A1095"/>
    <mergeCell ref="A1096:A1097"/>
    <mergeCell ref="A1119:A1120"/>
    <mergeCell ref="B1094:X1094"/>
    <mergeCell ref="A1103:A1104"/>
    <mergeCell ref="A1065:A1066"/>
    <mergeCell ref="A1067:A1068"/>
    <mergeCell ref="A1069:A1070"/>
    <mergeCell ref="A1071:A1072"/>
    <mergeCell ref="A1078:A1079"/>
    <mergeCell ref="A1080:A1081"/>
    <mergeCell ref="A1073:A1074"/>
    <mergeCell ref="A1076:A1077"/>
    <mergeCell ref="A1082:A1083"/>
    <mergeCell ref="A1046:A1047"/>
    <mergeCell ref="A1048:A1049"/>
    <mergeCell ref="A1050:A1051"/>
    <mergeCell ref="A1052:A1053"/>
    <mergeCell ref="A1058:A1059"/>
    <mergeCell ref="A1060:A1061"/>
    <mergeCell ref="A1054:A1055"/>
    <mergeCell ref="A1056:A1057"/>
    <mergeCell ref="A1063:A1064"/>
    <mergeCell ref="A1024:A1025"/>
    <mergeCell ref="A1026:A1027"/>
    <mergeCell ref="A1028:A1029"/>
    <mergeCell ref="A1030:A1031"/>
    <mergeCell ref="A1038:A1039"/>
    <mergeCell ref="A1041:A1042"/>
    <mergeCell ref="A1034:A1035"/>
    <mergeCell ref="A1036:A1037"/>
    <mergeCell ref="A1043:A1044"/>
    <mergeCell ref="A1004:A1005"/>
    <mergeCell ref="A1006:A1007"/>
    <mergeCell ref="A1008:A1009"/>
    <mergeCell ref="A1010:A1011"/>
    <mergeCell ref="A1017:A1018"/>
    <mergeCell ref="A1019:A1020"/>
    <mergeCell ref="A1012:A1013"/>
    <mergeCell ref="A1015:A1016"/>
    <mergeCell ref="A1022:A1023"/>
    <mergeCell ref="A983:A984"/>
    <mergeCell ref="A997:A998"/>
    <mergeCell ref="A999:A1000"/>
    <mergeCell ref="A993:A994"/>
    <mergeCell ref="A995:A996"/>
    <mergeCell ref="A985:A986"/>
    <mergeCell ref="A987:A988"/>
    <mergeCell ref="A989:A990"/>
    <mergeCell ref="A991:A992"/>
    <mergeCell ref="A951:A952"/>
    <mergeCell ref="A1001:A1002"/>
    <mergeCell ref="A965:A966"/>
    <mergeCell ref="A967:A968"/>
    <mergeCell ref="A970:A971"/>
    <mergeCell ref="A972:A973"/>
    <mergeCell ref="A978:A979"/>
    <mergeCell ref="A981:A982"/>
    <mergeCell ref="A974:A975"/>
    <mergeCell ref="A976:A977"/>
    <mergeCell ref="A963:A964"/>
    <mergeCell ref="A925:A926"/>
    <mergeCell ref="A927:A928"/>
    <mergeCell ref="A929:A930"/>
    <mergeCell ref="A931:A932"/>
    <mergeCell ref="A938:A939"/>
    <mergeCell ref="A940:A941"/>
    <mergeCell ref="A933:A934"/>
    <mergeCell ref="A958:A959"/>
    <mergeCell ref="A961:A962"/>
    <mergeCell ref="B956:X956"/>
    <mergeCell ref="B953:X953"/>
    <mergeCell ref="A953:A954"/>
    <mergeCell ref="A956:A957"/>
    <mergeCell ref="A944:A945"/>
    <mergeCell ref="A947:A948"/>
    <mergeCell ref="A949:A950"/>
    <mergeCell ref="A942:A943"/>
    <mergeCell ref="B933:X933"/>
    <mergeCell ref="B931:X931"/>
    <mergeCell ref="B929:X929"/>
    <mergeCell ref="A936:A937"/>
    <mergeCell ref="B938:X938"/>
    <mergeCell ref="B936:X936"/>
    <mergeCell ref="A894:A895"/>
    <mergeCell ref="A922:A923"/>
    <mergeCell ref="A918:A919"/>
    <mergeCell ref="A920:A921"/>
    <mergeCell ref="A909:A910"/>
    <mergeCell ref="A907:A908"/>
    <mergeCell ref="B903:X903"/>
    <mergeCell ref="A900:A901"/>
    <mergeCell ref="A887:A888"/>
    <mergeCell ref="B887:X887"/>
    <mergeCell ref="A843:A844"/>
    <mergeCell ref="A845:A846"/>
    <mergeCell ref="A847:A848"/>
    <mergeCell ref="A850:A851"/>
    <mergeCell ref="A878:A879"/>
    <mergeCell ref="A884:X884"/>
    <mergeCell ref="A886:X886"/>
    <mergeCell ref="A881:A882"/>
    <mergeCell ref="A768:A769"/>
    <mergeCell ref="A770:A771"/>
    <mergeCell ref="A766:A767"/>
    <mergeCell ref="A764:A765"/>
    <mergeCell ref="A762:A763"/>
    <mergeCell ref="A747:A748"/>
    <mergeCell ref="A755:A756"/>
    <mergeCell ref="A757:A758"/>
    <mergeCell ref="A759:A760"/>
    <mergeCell ref="A749:A750"/>
    <mergeCell ref="A751:A752"/>
    <mergeCell ref="B747:X747"/>
    <mergeCell ref="B755:X755"/>
    <mergeCell ref="B753:X753"/>
    <mergeCell ref="A753:A754"/>
    <mergeCell ref="B751:X751"/>
    <mergeCell ref="B749:X749"/>
    <mergeCell ref="A740:A741"/>
    <mergeCell ref="A743:A744"/>
    <mergeCell ref="B745:X745"/>
    <mergeCell ref="B743:X743"/>
    <mergeCell ref="B740:X740"/>
    <mergeCell ref="A745:A746"/>
    <mergeCell ref="A738:A739"/>
    <mergeCell ref="A732:A733"/>
    <mergeCell ref="A737:X737"/>
    <mergeCell ref="B732:X732"/>
    <mergeCell ref="B738:X738"/>
    <mergeCell ref="A731:X731"/>
    <mergeCell ref="A735:X735"/>
    <mergeCell ref="A662:A663"/>
    <mergeCell ref="A666:A667"/>
    <mergeCell ref="B666:X666"/>
    <mergeCell ref="A692:A693"/>
    <mergeCell ref="B698:X698"/>
    <mergeCell ref="A697:X697"/>
    <mergeCell ref="B694:X694"/>
    <mergeCell ref="A694:A695"/>
    <mergeCell ref="B664:X664"/>
    <mergeCell ref="B662:X662"/>
    <mergeCell ref="B660:X660"/>
    <mergeCell ref="B658:X658"/>
    <mergeCell ref="B593:X593"/>
    <mergeCell ref="B603:X603"/>
    <mergeCell ref="B607:X607"/>
    <mergeCell ref="B605:X605"/>
    <mergeCell ref="B595:X595"/>
    <mergeCell ref="B599:X599"/>
    <mergeCell ref="B597:X597"/>
    <mergeCell ref="A605:A606"/>
    <mergeCell ref="A595:A596"/>
    <mergeCell ref="A597:A598"/>
    <mergeCell ref="A612:A613"/>
    <mergeCell ref="A599:A600"/>
    <mergeCell ref="A603:A604"/>
    <mergeCell ref="A593:A594"/>
    <mergeCell ref="A607:A608"/>
    <mergeCell ref="A538:A539"/>
    <mergeCell ref="A540:A541"/>
    <mergeCell ref="A552:A553"/>
    <mergeCell ref="A544:A545"/>
    <mergeCell ref="A560:A561"/>
    <mergeCell ref="A562:A563"/>
    <mergeCell ref="A585:A586"/>
    <mergeCell ref="A587:A588"/>
    <mergeCell ref="B565:X565"/>
    <mergeCell ref="A578:A579"/>
    <mergeCell ref="A569:A570"/>
    <mergeCell ref="A565:A566"/>
    <mergeCell ref="A567:A568"/>
    <mergeCell ref="A574:A575"/>
    <mergeCell ref="B574:X574"/>
    <mergeCell ref="A571:A572"/>
    <mergeCell ref="B562:X562"/>
    <mergeCell ref="B544:X544"/>
    <mergeCell ref="B542:X542"/>
    <mergeCell ref="A576:A577"/>
    <mergeCell ref="B558:X558"/>
    <mergeCell ref="B556:X556"/>
    <mergeCell ref="B567:X567"/>
    <mergeCell ref="B571:X571"/>
    <mergeCell ref="A556:A557"/>
    <mergeCell ref="A558:A559"/>
    <mergeCell ref="B552:X552"/>
    <mergeCell ref="B550:X550"/>
    <mergeCell ref="A554:A555"/>
    <mergeCell ref="B546:X546"/>
    <mergeCell ref="A505:A506"/>
    <mergeCell ref="A550:A551"/>
    <mergeCell ref="A546:A547"/>
    <mergeCell ref="A548:A549"/>
    <mergeCell ref="A542:A543"/>
    <mergeCell ref="A516:X516"/>
    <mergeCell ref="A517:X517"/>
    <mergeCell ref="A519:X519"/>
    <mergeCell ref="A521:X521"/>
    <mergeCell ref="B530:X530"/>
    <mergeCell ref="A477:A478"/>
    <mergeCell ref="A479:A480"/>
    <mergeCell ref="A483:A484"/>
    <mergeCell ref="A481:A482"/>
    <mergeCell ref="A474:A475"/>
    <mergeCell ref="B576:X576"/>
    <mergeCell ref="A527:X527"/>
    <mergeCell ref="B505:X505"/>
    <mergeCell ref="B569:X569"/>
    <mergeCell ref="B486:X486"/>
    <mergeCell ref="A486:A487"/>
    <mergeCell ref="A503:A504"/>
    <mergeCell ref="A495:A496"/>
    <mergeCell ref="A497:A498"/>
    <mergeCell ref="A500:X500"/>
    <mergeCell ref="B501:X501"/>
    <mergeCell ref="B503:X503"/>
    <mergeCell ref="A501:A502"/>
    <mergeCell ref="B591:X591"/>
    <mergeCell ref="B589:X589"/>
    <mergeCell ref="B587:X587"/>
    <mergeCell ref="B578:X578"/>
    <mergeCell ref="A584:X584"/>
    <mergeCell ref="B580:X580"/>
    <mergeCell ref="A589:A590"/>
    <mergeCell ref="A591:A592"/>
    <mergeCell ref="A525:X525"/>
    <mergeCell ref="B585:X585"/>
    <mergeCell ref="A532:A533"/>
    <mergeCell ref="A534:A535"/>
    <mergeCell ref="B528:X528"/>
    <mergeCell ref="B534:X534"/>
    <mergeCell ref="B532:X532"/>
    <mergeCell ref="A528:A529"/>
    <mergeCell ref="A530:A531"/>
    <mergeCell ref="B554:X554"/>
    <mergeCell ref="A301:A302"/>
    <mergeCell ref="A399:A400"/>
    <mergeCell ref="B406:X406"/>
    <mergeCell ref="A406:A407"/>
    <mergeCell ref="A303:A304"/>
    <mergeCell ref="B303:X303"/>
    <mergeCell ref="A305:A306"/>
    <mergeCell ref="B305:X305"/>
    <mergeCell ref="A308:A309"/>
    <mergeCell ref="B308:X308"/>
    <mergeCell ref="A422:A423"/>
    <mergeCell ref="A412:A413"/>
    <mergeCell ref="A470:A471"/>
    <mergeCell ref="A472:A473"/>
    <mergeCell ref="A468:A469"/>
    <mergeCell ref="A436:X436"/>
    <mergeCell ref="B433:X433"/>
    <mergeCell ref="A433:A434"/>
    <mergeCell ref="A437:A438"/>
    <mergeCell ref="A464:A465"/>
    <mergeCell ref="B256:X256"/>
    <mergeCell ref="B540:X540"/>
    <mergeCell ref="B538:X538"/>
    <mergeCell ref="A424:A425"/>
    <mergeCell ref="B446:X446"/>
    <mergeCell ref="A445:X445"/>
    <mergeCell ref="A428:X428"/>
    <mergeCell ref="A508:X508"/>
    <mergeCell ref="A509:X509"/>
    <mergeCell ref="A511:X511"/>
    <mergeCell ref="B254:X254"/>
    <mergeCell ref="B610:X610"/>
    <mergeCell ref="A451:X451"/>
    <mergeCell ref="B449:X449"/>
    <mergeCell ref="A448:X448"/>
    <mergeCell ref="B548:X548"/>
    <mergeCell ref="A458:A459"/>
    <mergeCell ref="A258:A259"/>
    <mergeCell ref="A256:A257"/>
    <mergeCell ref="B258:X258"/>
    <mergeCell ref="B692:X692"/>
    <mergeCell ref="B690:X690"/>
    <mergeCell ref="B688:X688"/>
    <mergeCell ref="B683:X683"/>
    <mergeCell ref="A687:X687"/>
    <mergeCell ref="A688:A689"/>
    <mergeCell ref="A690:A691"/>
    <mergeCell ref="B722:X722"/>
    <mergeCell ref="B710:X710"/>
    <mergeCell ref="A709:X709"/>
    <mergeCell ref="B703:X703"/>
    <mergeCell ref="A710:A711"/>
    <mergeCell ref="A703:A704"/>
    <mergeCell ref="A714:X714"/>
    <mergeCell ref="A240:A241"/>
    <mergeCell ref="A242:A243"/>
    <mergeCell ref="A236:A237"/>
    <mergeCell ref="A238:A239"/>
    <mergeCell ref="A252:A253"/>
    <mergeCell ref="B675:X675"/>
    <mergeCell ref="B673:X673"/>
    <mergeCell ref="B671:X671"/>
    <mergeCell ref="A418:A419"/>
    <mergeCell ref="B612:X612"/>
    <mergeCell ref="A466:A467"/>
    <mergeCell ref="A537:X537"/>
    <mergeCell ref="A513:X513"/>
    <mergeCell ref="B474:X474"/>
    <mergeCell ref="A222:A223"/>
    <mergeCell ref="A217:A218"/>
    <mergeCell ref="A165:A166"/>
    <mergeCell ref="A163:A164"/>
    <mergeCell ref="A204:A205"/>
    <mergeCell ref="A206:A207"/>
    <mergeCell ref="A184:A185"/>
    <mergeCell ref="A169:A170"/>
    <mergeCell ref="B768:X768"/>
    <mergeCell ref="B766:X766"/>
    <mergeCell ref="B764:X764"/>
    <mergeCell ref="B762:X762"/>
    <mergeCell ref="B759:X759"/>
    <mergeCell ref="B757:X757"/>
    <mergeCell ref="A171:A172"/>
    <mergeCell ref="B151:X151"/>
    <mergeCell ref="B153:X153"/>
    <mergeCell ref="B156:X156"/>
    <mergeCell ref="A153:A154"/>
    <mergeCell ref="A286:A287"/>
    <mergeCell ref="B286:X286"/>
    <mergeCell ref="A288:A289"/>
    <mergeCell ref="A28:A29"/>
    <mergeCell ref="B34:X34"/>
    <mergeCell ref="A65:A66"/>
    <mergeCell ref="A104:A105"/>
    <mergeCell ref="B65:X65"/>
    <mergeCell ref="A103:X103"/>
    <mergeCell ref="B104:X104"/>
    <mergeCell ref="A53:A54"/>
    <mergeCell ref="B53:X53"/>
    <mergeCell ref="B57:X57"/>
    <mergeCell ref="A36:A37"/>
    <mergeCell ref="B51:X51"/>
    <mergeCell ref="A51:A52"/>
    <mergeCell ref="B126:X126"/>
    <mergeCell ref="A113:A114"/>
    <mergeCell ref="A115:A116"/>
    <mergeCell ref="A119:A120"/>
    <mergeCell ref="A123:A124"/>
    <mergeCell ref="A117:A118"/>
    <mergeCell ref="B61:X61"/>
    <mergeCell ref="A34:A35"/>
    <mergeCell ref="A26:A27"/>
    <mergeCell ref="A46:A47"/>
    <mergeCell ref="B48:X48"/>
    <mergeCell ref="B46:X46"/>
    <mergeCell ref="A48:A49"/>
    <mergeCell ref="B26:X26"/>
    <mergeCell ref="B28:X28"/>
    <mergeCell ref="B30:X30"/>
    <mergeCell ref="A30:A31"/>
    <mergeCell ref="R6:R8"/>
    <mergeCell ref="B130:X130"/>
    <mergeCell ref="B128:X128"/>
    <mergeCell ref="G7:I7"/>
    <mergeCell ref="J7:L7"/>
    <mergeCell ref="P7:Q7"/>
    <mergeCell ref="F8:F9"/>
    <mergeCell ref="I8:I9"/>
    <mergeCell ref="L8:L9"/>
    <mergeCell ref="A110:X110"/>
    <mergeCell ref="A6:A9"/>
    <mergeCell ref="B6:C7"/>
    <mergeCell ref="D6:L6"/>
    <mergeCell ref="M6:N7"/>
    <mergeCell ref="N8:N9"/>
    <mergeCell ref="D7:F7"/>
    <mergeCell ref="M8:M9"/>
    <mergeCell ref="A20:A21"/>
    <mergeCell ref="B20:X20"/>
    <mergeCell ref="B158:X158"/>
    <mergeCell ref="B778:X778"/>
    <mergeCell ref="B776:X776"/>
    <mergeCell ref="B772:X772"/>
    <mergeCell ref="A776:A777"/>
    <mergeCell ref="A778:A779"/>
    <mergeCell ref="A772:A773"/>
    <mergeCell ref="A678:X678"/>
    <mergeCell ref="B1550:C1551"/>
    <mergeCell ref="D1550:L1550"/>
    <mergeCell ref="M1550:N1551"/>
    <mergeCell ref="D1551:F1551"/>
    <mergeCell ref="G1551:I1551"/>
    <mergeCell ref="J1551:L1551"/>
    <mergeCell ref="F1552:F1553"/>
    <mergeCell ref="I1552:I1553"/>
    <mergeCell ref="L1552:L1553"/>
    <mergeCell ref="W1:X1"/>
    <mergeCell ref="O1550:O1552"/>
    <mergeCell ref="M1552:M1553"/>
    <mergeCell ref="N1552:N1553"/>
    <mergeCell ref="S1550:X1550"/>
    <mergeCell ref="P1551:Q1551"/>
    <mergeCell ref="S1551:V1551"/>
    <mergeCell ref="P1550:Q1550"/>
    <mergeCell ref="R1550:R1552"/>
    <mergeCell ref="P6:Q6"/>
    <mergeCell ref="A669:A670"/>
    <mergeCell ref="B669:X669"/>
    <mergeCell ref="B681:X681"/>
    <mergeCell ref="A683:A684"/>
    <mergeCell ref="A671:A672"/>
    <mergeCell ref="A673:A674"/>
    <mergeCell ref="A675:A676"/>
    <mergeCell ref="B288:X288"/>
    <mergeCell ref="A97:W97"/>
    <mergeCell ref="A86:W86"/>
    <mergeCell ref="A88:W88"/>
    <mergeCell ref="A284:A285"/>
    <mergeCell ref="B284:X284"/>
    <mergeCell ref="A130:A131"/>
    <mergeCell ref="B143:X143"/>
    <mergeCell ref="B141:X141"/>
    <mergeCell ref="B139:X139"/>
    <mergeCell ref="A84:W84"/>
    <mergeCell ref="A90:W90"/>
    <mergeCell ref="A93:W93"/>
    <mergeCell ref="A75:W75"/>
    <mergeCell ref="A77:W77"/>
    <mergeCell ref="A79:W79"/>
    <mergeCell ref="A82:W82"/>
    <mergeCell ref="A67:W67"/>
    <mergeCell ref="A69:W69"/>
    <mergeCell ref="A71:W71"/>
    <mergeCell ref="A73:W73"/>
    <mergeCell ref="A100:W100"/>
    <mergeCell ref="A279:A280"/>
    <mergeCell ref="B279:X279"/>
    <mergeCell ref="A281:A282"/>
    <mergeCell ref="B281:X281"/>
    <mergeCell ref="B134:X134"/>
    <mergeCell ref="B132:X132"/>
    <mergeCell ref="B171:X171"/>
    <mergeCell ref="A167:A168"/>
    <mergeCell ref="A139:A140"/>
    <mergeCell ref="B290:X290"/>
    <mergeCell ref="A292:A293"/>
    <mergeCell ref="B292:X292"/>
    <mergeCell ref="A294:A295"/>
    <mergeCell ref="B294:X294"/>
    <mergeCell ref="A290:A291"/>
    <mergeCell ref="A310:A311"/>
    <mergeCell ref="B310:X310"/>
    <mergeCell ref="A312:A313"/>
    <mergeCell ref="B312:X312"/>
    <mergeCell ref="A314:A315"/>
    <mergeCell ref="B314:X314"/>
    <mergeCell ref="A316:A317"/>
    <mergeCell ref="B316:X316"/>
    <mergeCell ref="A318:A319"/>
    <mergeCell ref="B318:X318"/>
    <mergeCell ref="A321:A322"/>
    <mergeCell ref="B321:X321"/>
    <mergeCell ref="A323:A324"/>
    <mergeCell ref="B323:X323"/>
    <mergeCell ref="A325:A326"/>
    <mergeCell ref="B325:X325"/>
    <mergeCell ref="A327:A328"/>
    <mergeCell ref="B327:X327"/>
    <mergeCell ref="A329:A330"/>
    <mergeCell ref="B329:X329"/>
    <mergeCell ref="A331:A332"/>
    <mergeCell ref="B331:X331"/>
    <mergeCell ref="A333:A334"/>
    <mergeCell ref="B333:X333"/>
    <mergeCell ref="A335:A336"/>
    <mergeCell ref="B335:X335"/>
    <mergeCell ref="A337:A338"/>
    <mergeCell ref="B337:X337"/>
    <mergeCell ref="A339:A340"/>
    <mergeCell ref="B339:X339"/>
    <mergeCell ref="A341:A342"/>
    <mergeCell ref="B341:X341"/>
    <mergeCell ref="A343:A344"/>
    <mergeCell ref="B343:X343"/>
    <mergeCell ref="A345:A346"/>
    <mergeCell ref="B345:X345"/>
    <mergeCell ref="A347:A348"/>
    <mergeCell ref="B347:X347"/>
    <mergeCell ref="A349:A350"/>
    <mergeCell ref="B349:X349"/>
    <mergeCell ref="A351:A352"/>
    <mergeCell ref="B351:X351"/>
    <mergeCell ref="A353:A354"/>
    <mergeCell ref="B353:X353"/>
    <mergeCell ref="A357:X357"/>
    <mergeCell ref="A358:A359"/>
    <mergeCell ref="B358:X358"/>
    <mergeCell ref="A360:A361"/>
    <mergeCell ref="B360:X360"/>
    <mergeCell ref="A725:X725"/>
    <mergeCell ref="B720:X720"/>
    <mergeCell ref="A362:A363"/>
    <mergeCell ref="B362:X362"/>
    <mergeCell ref="A367:A368"/>
    <mergeCell ref="B367:X367"/>
    <mergeCell ref="A719:X719"/>
    <mergeCell ref="B716:X716"/>
    <mergeCell ref="A722:A723"/>
    <mergeCell ref="A403:A404"/>
    <mergeCell ref="A389:A390"/>
    <mergeCell ref="A712:X712"/>
    <mergeCell ref="A782:W782"/>
    <mergeCell ref="B647:X647"/>
    <mergeCell ref="A679:A680"/>
    <mergeCell ref="B679:X679"/>
    <mergeCell ref="A681:A682"/>
    <mergeCell ref="A780:W780"/>
    <mergeCell ref="A647:A648"/>
    <mergeCell ref="B640:X640"/>
    <mergeCell ref="H369:H370"/>
    <mergeCell ref="I369:I370"/>
    <mergeCell ref="J369:J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U369:U370"/>
    <mergeCell ref="V369:V370"/>
    <mergeCell ref="W369:W370"/>
    <mergeCell ref="X369:X370"/>
    <mergeCell ref="A371:X371"/>
    <mergeCell ref="A372:A373"/>
    <mergeCell ref="B372:X372"/>
    <mergeCell ref="F369:F370"/>
    <mergeCell ref="E369:E370"/>
    <mergeCell ref="D369:D370"/>
    <mergeCell ref="C369:C370"/>
    <mergeCell ref="B369:B370"/>
    <mergeCell ref="A369:A370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R374:R375"/>
    <mergeCell ref="S374:S375"/>
    <mergeCell ref="L374:L375"/>
    <mergeCell ref="M374:M375"/>
    <mergeCell ref="N374:N375"/>
    <mergeCell ref="O374:O375"/>
    <mergeCell ref="B643:X643"/>
    <mergeCell ref="A645:A646"/>
    <mergeCell ref="B645:X645"/>
    <mergeCell ref="A640:A641"/>
    <mergeCell ref="X374:X375"/>
    <mergeCell ref="A364:A365"/>
    <mergeCell ref="B364:X364"/>
    <mergeCell ref="T374:T375"/>
    <mergeCell ref="U374:U375"/>
    <mergeCell ref="V374:V375"/>
    <mergeCell ref="W374:W375"/>
    <mergeCell ref="P374:P375"/>
    <mergeCell ref="Q374:Q375"/>
    <mergeCell ref="G369:G370"/>
    <mergeCell ref="B636:X636"/>
    <mergeCell ref="A636:A637"/>
    <mergeCell ref="A638:A639"/>
    <mergeCell ref="B638:X638"/>
    <mergeCell ref="B620:X620"/>
    <mergeCell ref="B627:X627"/>
    <mergeCell ref="A629:A630"/>
    <mergeCell ref="B629:X629"/>
    <mergeCell ref="A1542:W1542"/>
    <mergeCell ref="B622:X622"/>
    <mergeCell ref="B624:X624"/>
    <mergeCell ref="A627:A628"/>
    <mergeCell ref="A1130:A1131"/>
    <mergeCell ref="B1130:X1130"/>
    <mergeCell ref="B631:X631"/>
    <mergeCell ref="A631:A632"/>
    <mergeCell ref="A634:A635"/>
    <mergeCell ref="B634:X634"/>
    <mergeCell ref="A1350:W1350"/>
    <mergeCell ref="A1352:W1352"/>
    <mergeCell ref="A1354:W1354"/>
    <mergeCell ref="A1357:W1357"/>
    <mergeCell ref="A1341:W1341"/>
    <mergeCell ref="A1343:W1343"/>
    <mergeCell ref="A1345:W1345"/>
    <mergeCell ref="A1347:W1347"/>
    <mergeCell ref="A1367:W1367"/>
    <mergeCell ref="A1369:W1369"/>
    <mergeCell ref="A1538:W1538"/>
    <mergeCell ref="A1540:W1540"/>
    <mergeCell ref="A1395:A1396"/>
    <mergeCell ref="B1395:X1395"/>
    <mergeCell ref="A1528:X1528"/>
    <mergeCell ref="A1402:A1403"/>
    <mergeCell ref="A1453:A1454"/>
    <mergeCell ref="B1511:X1511"/>
  </mergeCells>
  <printOptions horizontalCentered="1"/>
  <pageMargins left="0.31" right="0.19" top="0.73" bottom="0.23" header="0" footer="0.23"/>
  <pageSetup horizontalDpi="600" verticalDpi="600" orientation="landscape" paperSize="9" scale="45" r:id="rId1"/>
  <rowBreaks count="23" manualBreakCount="23">
    <brk id="125" max="23" man="1"/>
    <brk id="193" max="23" man="1"/>
    <brk id="270" max="23" man="1"/>
    <brk id="336" max="23" man="1"/>
    <brk id="385" max="23" man="1"/>
    <brk id="450" max="23" man="1"/>
    <brk id="515" max="23" man="1"/>
    <brk id="628" max="23" man="1"/>
    <brk id="685" max="23" man="1"/>
    <brk id="734" max="23" man="1"/>
    <brk id="799" max="23" man="1"/>
    <brk id="863" max="23" man="1"/>
    <brk id="921" max="23" man="1"/>
    <brk id="986" max="23" man="1"/>
    <brk id="1053" max="23" man="1"/>
    <brk id="1124" max="23" man="1"/>
    <brk id="1181" max="23" man="1"/>
    <brk id="1240" max="23" man="1"/>
    <brk id="1301" max="23" man="1"/>
    <brk id="1366" max="23" man="1"/>
    <brk id="1426" max="23" man="1"/>
    <brk id="1493" max="23" man="1"/>
    <brk id="154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="75" zoomScaleNormal="75" zoomScaleSheetLayoutView="75" zoomScalePageLayoutView="0" workbookViewId="0" topLeftCell="A1">
      <selection activeCell="K36" sqref="K36"/>
    </sheetView>
  </sheetViews>
  <sheetFormatPr defaultColWidth="9.140625" defaultRowHeight="15"/>
  <cols>
    <col min="1" max="1" width="4.7109375" style="0" customWidth="1"/>
    <col min="2" max="2" width="20.57421875" style="0" customWidth="1"/>
    <col min="3" max="3" width="23.7109375" style="0" customWidth="1"/>
    <col min="4" max="4" width="14.140625" style="0" hidden="1" customWidth="1"/>
    <col min="5" max="6" width="7.57421875" style="0" hidden="1" customWidth="1"/>
    <col min="7" max="7" width="7.8515625" style="0" hidden="1" customWidth="1"/>
    <col min="8" max="8" width="8.00390625" style="0" hidden="1" customWidth="1"/>
    <col min="9" max="9" width="10.140625" style="0" customWidth="1"/>
    <col min="10" max="10" width="13.00390625" style="0" customWidth="1"/>
    <col min="11" max="11" width="9.421875" style="0" customWidth="1"/>
    <col min="12" max="12" width="11.57421875" style="0" customWidth="1"/>
    <col min="13" max="13" width="12.57421875" style="0" customWidth="1"/>
  </cols>
  <sheetData>
    <row r="1" spans="1:13" ht="15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3" t="s">
        <v>745</v>
      </c>
    </row>
    <row r="4" spans="1:13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3" t="s">
        <v>722</v>
      </c>
    </row>
    <row r="5" spans="1:25" ht="18" customHeight="1">
      <c r="A5" s="142" t="s">
        <v>519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8.75" customHeight="1">
      <c r="A6" s="116" t="s">
        <v>735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8.75" customHeight="1" thickBo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13" ht="31.5" customHeight="1">
      <c r="A8" s="117" t="s">
        <v>105</v>
      </c>
      <c r="B8" s="179" t="s">
        <v>498</v>
      </c>
      <c r="C8" s="181" t="s">
        <v>516</v>
      </c>
      <c r="D8" s="179" t="s">
        <v>497</v>
      </c>
      <c r="E8" s="179"/>
      <c r="F8" s="179"/>
      <c r="G8" s="179"/>
      <c r="H8" s="179"/>
      <c r="I8" s="179"/>
      <c r="J8" s="179"/>
      <c r="K8" s="179"/>
      <c r="L8" s="179"/>
      <c r="M8" s="183" t="s">
        <v>521</v>
      </c>
    </row>
    <row r="9" spans="1:13" ht="14.25" customHeight="1" thickBot="1">
      <c r="A9" s="118"/>
      <c r="B9" s="180"/>
      <c r="C9" s="182"/>
      <c r="D9" s="105" t="s">
        <v>499</v>
      </c>
      <c r="E9" s="105">
        <v>2009</v>
      </c>
      <c r="F9" s="105">
        <v>2009</v>
      </c>
      <c r="G9" s="105">
        <v>2010</v>
      </c>
      <c r="H9" s="105">
        <v>2011</v>
      </c>
      <c r="I9" s="105">
        <v>2012</v>
      </c>
      <c r="J9" s="105">
        <v>2013</v>
      </c>
      <c r="K9" s="105">
        <v>2014</v>
      </c>
      <c r="L9" s="105">
        <v>2015</v>
      </c>
      <c r="M9" s="184"/>
    </row>
    <row r="10" spans="1:13" ht="14.25" customHeight="1">
      <c r="A10" s="190">
        <v>1</v>
      </c>
      <c r="B10" s="199" t="s">
        <v>500</v>
      </c>
      <c r="C10" s="106" t="s">
        <v>518</v>
      </c>
      <c r="D10" s="107">
        <v>4</v>
      </c>
      <c r="E10" s="107">
        <f>2</f>
        <v>2</v>
      </c>
      <c r="F10" s="107">
        <f>D10+E10</f>
        <v>6</v>
      </c>
      <c r="G10" s="107">
        <f>4</f>
        <v>4</v>
      </c>
      <c r="H10" s="107">
        <f>3</f>
        <v>3</v>
      </c>
      <c r="I10" s="107">
        <v>25</v>
      </c>
      <c r="J10" s="107">
        <f>2</f>
        <v>2</v>
      </c>
      <c r="K10" s="107"/>
      <c r="L10" s="108"/>
      <c r="M10" s="109">
        <f>SUM(I10:L10)</f>
        <v>27</v>
      </c>
    </row>
    <row r="11" spans="1:13" ht="14.25" customHeight="1">
      <c r="A11" s="191"/>
      <c r="B11" s="200"/>
      <c r="C11" s="99" t="s">
        <v>520</v>
      </c>
      <c r="D11" s="110">
        <v>5</v>
      </c>
      <c r="E11" s="110">
        <f>4</f>
        <v>4</v>
      </c>
      <c r="F11" s="111">
        <f aca="true" t="shared" si="0" ref="F11:F57">D11+E11</f>
        <v>9</v>
      </c>
      <c r="G11" s="110">
        <f>5</f>
        <v>5</v>
      </c>
      <c r="H11" s="110">
        <f>6</f>
        <v>6</v>
      </c>
      <c r="I11" s="110">
        <v>39</v>
      </c>
      <c r="J11" s="110">
        <f>2</f>
        <v>2</v>
      </c>
      <c r="K11" s="110"/>
      <c r="L11" s="112"/>
      <c r="M11" s="119">
        <f>SUM(I11:L11)</f>
        <v>41</v>
      </c>
    </row>
    <row r="12" spans="1:13" ht="14.25" customHeight="1" thickBot="1">
      <c r="A12" s="192"/>
      <c r="B12" s="201"/>
      <c r="C12" s="100" t="s">
        <v>517</v>
      </c>
      <c r="D12" s="120">
        <v>236</v>
      </c>
      <c r="E12" s="120">
        <f>162</f>
        <v>162</v>
      </c>
      <c r="F12" s="121">
        <f t="shared" si="0"/>
        <v>398</v>
      </c>
      <c r="G12" s="120">
        <f>225</f>
        <v>225</v>
      </c>
      <c r="H12" s="120">
        <f>108</f>
        <v>108</v>
      </c>
      <c r="I12" s="120">
        <v>1799</v>
      </c>
      <c r="J12" s="120">
        <f>105</f>
        <v>105</v>
      </c>
      <c r="K12" s="120"/>
      <c r="L12" s="122"/>
      <c r="M12" s="123">
        <f>SUM(I12:L12)</f>
        <v>1904</v>
      </c>
    </row>
    <row r="13" spans="1:13" ht="14.25" customHeight="1">
      <c r="A13" s="205">
        <v>2</v>
      </c>
      <c r="B13" s="207" t="s">
        <v>501</v>
      </c>
      <c r="C13" s="124" t="s">
        <v>518</v>
      </c>
      <c r="D13" s="111">
        <f>16</f>
        <v>16</v>
      </c>
      <c r="E13" s="111">
        <f>13</f>
        <v>13</v>
      </c>
      <c r="F13" s="111">
        <f t="shared" si="0"/>
        <v>29</v>
      </c>
      <c r="G13" s="111">
        <f>13</f>
        <v>13</v>
      </c>
      <c r="H13" s="111">
        <f>8</f>
        <v>8</v>
      </c>
      <c r="I13" s="111">
        <v>52</v>
      </c>
      <c r="J13" s="111">
        <f>2</f>
        <v>2</v>
      </c>
      <c r="K13" s="111">
        <v>4</v>
      </c>
      <c r="L13" s="125">
        <v>1</v>
      </c>
      <c r="M13" s="109">
        <f aca="true" t="shared" si="1" ref="M13:M59">SUM(I13:L13)</f>
        <v>59</v>
      </c>
    </row>
    <row r="14" spans="1:13" ht="15">
      <c r="A14" s="191"/>
      <c r="B14" s="200"/>
      <c r="C14" s="99" t="s">
        <v>520</v>
      </c>
      <c r="D14" s="110">
        <f>32</f>
        <v>32</v>
      </c>
      <c r="E14" s="110">
        <f>15</f>
        <v>15</v>
      </c>
      <c r="F14" s="111">
        <f t="shared" si="0"/>
        <v>47</v>
      </c>
      <c r="G14" s="110">
        <f>14</f>
        <v>14</v>
      </c>
      <c r="H14" s="110">
        <f>9</f>
        <v>9</v>
      </c>
      <c r="I14" s="110">
        <v>84</v>
      </c>
      <c r="J14" s="110">
        <v>20</v>
      </c>
      <c r="K14" s="110">
        <v>5</v>
      </c>
      <c r="L14" s="112">
        <v>1</v>
      </c>
      <c r="M14" s="119">
        <f t="shared" si="1"/>
        <v>110</v>
      </c>
    </row>
    <row r="15" spans="1:13" ht="15.75" thickBot="1">
      <c r="A15" s="206"/>
      <c r="B15" s="208"/>
      <c r="C15" s="126" t="s">
        <v>517</v>
      </c>
      <c r="D15" s="127">
        <f>5327</f>
        <v>5327</v>
      </c>
      <c r="E15" s="127">
        <f>3520</f>
        <v>3520</v>
      </c>
      <c r="F15" s="128">
        <f t="shared" si="0"/>
        <v>8847</v>
      </c>
      <c r="G15" s="127">
        <f>4806</f>
        <v>4806</v>
      </c>
      <c r="H15" s="127">
        <f>2929</f>
        <v>2929</v>
      </c>
      <c r="I15" s="127">
        <v>18641</v>
      </c>
      <c r="J15" s="127">
        <v>1240</v>
      </c>
      <c r="K15" s="127">
        <v>77</v>
      </c>
      <c r="L15" s="129">
        <v>40</v>
      </c>
      <c r="M15" s="123">
        <f>SUM(I15:L15)</f>
        <v>19998</v>
      </c>
    </row>
    <row r="16" spans="1:13" ht="15">
      <c r="A16" s="190">
        <v>3</v>
      </c>
      <c r="B16" s="199" t="s">
        <v>502</v>
      </c>
      <c r="C16" s="106" t="s">
        <v>518</v>
      </c>
      <c r="D16" s="107">
        <f>2</f>
        <v>2</v>
      </c>
      <c r="E16" s="107"/>
      <c r="F16" s="107">
        <f t="shared" si="0"/>
        <v>2</v>
      </c>
      <c r="G16" s="107"/>
      <c r="H16" s="107"/>
      <c r="I16" s="107">
        <v>2</v>
      </c>
      <c r="J16" s="107"/>
      <c r="K16" s="107"/>
      <c r="L16" s="108"/>
      <c r="M16" s="109">
        <f t="shared" si="1"/>
        <v>2</v>
      </c>
    </row>
    <row r="17" spans="1:13" ht="15">
      <c r="A17" s="191"/>
      <c r="B17" s="200"/>
      <c r="C17" s="99" t="s">
        <v>520</v>
      </c>
      <c r="D17" s="110">
        <f>2</f>
        <v>2</v>
      </c>
      <c r="E17" s="110"/>
      <c r="F17" s="111">
        <f t="shared" si="0"/>
        <v>2</v>
      </c>
      <c r="G17" s="110"/>
      <c r="H17" s="110"/>
      <c r="I17" s="110">
        <v>2</v>
      </c>
      <c r="J17" s="110"/>
      <c r="K17" s="110"/>
      <c r="L17" s="112"/>
      <c r="M17" s="119">
        <f t="shared" si="1"/>
        <v>2</v>
      </c>
    </row>
    <row r="18" spans="1:13" ht="15.75" thickBot="1">
      <c r="A18" s="192"/>
      <c r="B18" s="201"/>
      <c r="C18" s="100" t="s">
        <v>517</v>
      </c>
      <c r="D18" s="120">
        <f>77</f>
        <v>77</v>
      </c>
      <c r="E18" s="120"/>
      <c r="F18" s="121">
        <f t="shared" si="0"/>
        <v>77</v>
      </c>
      <c r="G18" s="120"/>
      <c r="H18" s="120"/>
      <c r="I18" s="120">
        <v>77</v>
      </c>
      <c r="J18" s="120"/>
      <c r="K18" s="120"/>
      <c r="L18" s="122"/>
      <c r="M18" s="123">
        <f t="shared" si="1"/>
        <v>77</v>
      </c>
    </row>
    <row r="19" spans="1:13" ht="15">
      <c r="A19" s="202">
        <v>4</v>
      </c>
      <c r="B19" s="190" t="s">
        <v>503</v>
      </c>
      <c r="C19" s="106" t="s">
        <v>518</v>
      </c>
      <c r="D19" s="107"/>
      <c r="E19" s="107">
        <f>2</f>
        <v>2</v>
      </c>
      <c r="F19" s="107">
        <f t="shared" si="0"/>
        <v>2</v>
      </c>
      <c r="G19" s="107">
        <f>2</f>
        <v>2</v>
      </c>
      <c r="H19" s="107">
        <f>3</f>
        <v>3</v>
      </c>
      <c r="I19" s="107">
        <v>9</v>
      </c>
      <c r="J19" s="107">
        <f>1</f>
        <v>1</v>
      </c>
      <c r="K19" s="107">
        <f>2</f>
        <v>2</v>
      </c>
      <c r="L19" s="108">
        <f>2</f>
        <v>2</v>
      </c>
      <c r="M19" s="109">
        <f t="shared" si="1"/>
        <v>14</v>
      </c>
    </row>
    <row r="20" spans="1:13" ht="15">
      <c r="A20" s="203"/>
      <c r="B20" s="191"/>
      <c r="C20" s="99" t="s">
        <v>520</v>
      </c>
      <c r="D20" s="110"/>
      <c r="E20" s="110">
        <f>2</f>
        <v>2</v>
      </c>
      <c r="F20" s="111">
        <f t="shared" si="0"/>
        <v>2</v>
      </c>
      <c r="G20" s="110">
        <f>2</f>
        <v>2</v>
      </c>
      <c r="H20" s="110">
        <f>3</f>
        <v>3</v>
      </c>
      <c r="I20" s="110">
        <v>9</v>
      </c>
      <c r="J20" s="110">
        <f>1</f>
        <v>1</v>
      </c>
      <c r="K20" s="110">
        <f>2</f>
        <v>2</v>
      </c>
      <c r="L20" s="112">
        <f>2</f>
        <v>2</v>
      </c>
      <c r="M20" s="119">
        <f t="shared" si="1"/>
        <v>14</v>
      </c>
    </row>
    <row r="21" spans="1:13" ht="15.75" thickBot="1">
      <c r="A21" s="204"/>
      <c r="B21" s="192"/>
      <c r="C21" s="100" t="s">
        <v>517</v>
      </c>
      <c r="D21" s="120"/>
      <c r="E21" s="120">
        <f>96</f>
        <v>96</v>
      </c>
      <c r="F21" s="121">
        <f t="shared" si="0"/>
        <v>96</v>
      </c>
      <c r="G21" s="120">
        <f>76</f>
        <v>76</v>
      </c>
      <c r="H21" s="120">
        <f>192</f>
        <v>192</v>
      </c>
      <c r="I21" s="120">
        <v>454</v>
      </c>
      <c r="J21" s="120">
        <f>24</f>
        <v>24</v>
      </c>
      <c r="K21" s="120">
        <f>76</f>
        <v>76</v>
      </c>
      <c r="L21" s="122">
        <f>138</f>
        <v>138</v>
      </c>
      <c r="M21" s="123">
        <f t="shared" si="1"/>
        <v>692</v>
      </c>
    </row>
    <row r="22" spans="1:13" ht="15">
      <c r="A22" s="190">
        <v>5</v>
      </c>
      <c r="B22" s="199" t="s">
        <v>504</v>
      </c>
      <c r="C22" s="106" t="s">
        <v>518</v>
      </c>
      <c r="D22" s="107">
        <f>1</f>
        <v>1</v>
      </c>
      <c r="E22" s="107">
        <f>1</f>
        <v>1</v>
      </c>
      <c r="F22" s="107">
        <f t="shared" si="0"/>
        <v>2</v>
      </c>
      <c r="G22" s="107">
        <f>1</f>
        <v>1</v>
      </c>
      <c r="H22" s="107">
        <v>1</v>
      </c>
      <c r="I22" s="107">
        <v>4</v>
      </c>
      <c r="J22" s="107">
        <f>1</f>
        <v>1</v>
      </c>
      <c r="K22" s="107">
        <f>1</f>
        <v>1</v>
      </c>
      <c r="L22" s="108">
        <f>1</f>
        <v>1</v>
      </c>
      <c r="M22" s="109">
        <f t="shared" si="1"/>
        <v>7</v>
      </c>
    </row>
    <row r="23" spans="1:13" ht="15">
      <c r="A23" s="191"/>
      <c r="B23" s="200"/>
      <c r="C23" s="99" t="s">
        <v>520</v>
      </c>
      <c r="D23" s="110">
        <f>1</f>
        <v>1</v>
      </c>
      <c r="E23" s="110">
        <f>1</f>
        <v>1</v>
      </c>
      <c r="F23" s="111">
        <f t="shared" si="0"/>
        <v>2</v>
      </c>
      <c r="G23" s="110">
        <f>1</f>
        <v>1</v>
      </c>
      <c r="H23" s="110">
        <f>1</f>
        <v>1</v>
      </c>
      <c r="I23" s="110">
        <v>5</v>
      </c>
      <c r="J23" s="110">
        <f>1</f>
        <v>1</v>
      </c>
      <c r="K23" s="110">
        <f>1</f>
        <v>1</v>
      </c>
      <c r="L23" s="112">
        <f>1</f>
        <v>1</v>
      </c>
      <c r="M23" s="119">
        <f t="shared" si="1"/>
        <v>8</v>
      </c>
    </row>
    <row r="24" spans="1:13" ht="15.75" thickBot="1">
      <c r="A24" s="192"/>
      <c r="B24" s="201"/>
      <c r="C24" s="100" t="s">
        <v>517</v>
      </c>
      <c r="D24" s="120">
        <f>20</f>
        <v>20</v>
      </c>
      <c r="E24" s="120">
        <f>76</f>
        <v>76</v>
      </c>
      <c r="F24" s="121">
        <f t="shared" si="0"/>
        <v>96</v>
      </c>
      <c r="G24" s="120">
        <f>76</f>
        <v>76</v>
      </c>
      <c r="H24" s="120">
        <f>22</f>
        <v>22</v>
      </c>
      <c r="I24" s="120">
        <v>218</v>
      </c>
      <c r="J24" s="120">
        <f>36</f>
        <v>36</v>
      </c>
      <c r="K24" s="120">
        <f>20</f>
        <v>20</v>
      </c>
      <c r="L24" s="122">
        <f>30</f>
        <v>30</v>
      </c>
      <c r="M24" s="123">
        <f t="shared" si="1"/>
        <v>304</v>
      </c>
    </row>
    <row r="25" spans="1:13" ht="15">
      <c r="A25" s="193">
        <v>6</v>
      </c>
      <c r="B25" s="196" t="s">
        <v>505</v>
      </c>
      <c r="C25" s="106" t="s">
        <v>518</v>
      </c>
      <c r="D25" s="107">
        <f>4</f>
        <v>4</v>
      </c>
      <c r="E25" s="107">
        <f>5</f>
        <v>5</v>
      </c>
      <c r="F25" s="107">
        <f t="shared" si="0"/>
        <v>9</v>
      </c>
      <c r="G25" s="107">
        <f>4</f>
        <v>4</v>
      </c>
      <c r="H25" s="107">
        <f>3</f>
        <v>3</v>
      </c>
      <c r="I25" s="107">
        <v>19</v>
      </c>
      <c r="J25" s="107">
        <f>3</f>
        <v>3</v>
      </c>
      <c r="K25" s="107">
        <v>3</v>
      </c>
      <c r="L25" s="108">
        <v>3</v>
      </c>
      <c r="M25" s="109">
        <f t="shared" si="1"/>
        <v>28</v>
      </c>
    </row>
    <row r="26" spans="1:13" ht="15">
      <c r="A26" s="194"/>
      <c r="B26" s="197"/>
      <c r="C26" s="99" t="s">
        <v>520</v>
      </c>
      <c r="D26" s="110">
        <f>4</f>
        <v>4</v>
      </c>
      <c r="E26" s="110">
        <f>5</f>
        <v>5</v>
      </c>
      <c r="F26" s="111">
        <f t="shared" si="0"/>
        <v>9</v>
      </c>
      <c r="G26" s="110">
        <f>4</f>
        <v>4</v>
      </c>
      <c r="H26" s="110">
        <f>3</f>
        <v>3</v>
      </c>
      <c r="I26" s="110">
        <v>19</v>
      </c>
      <c r="J26" s="110">
        <f>3</f>
        <v>3</v>
      </c>
      <c r="K26" s="110">
        <v>3</v>
      </c>
      <c r="L26" s="112">
        <v>3</v>
      </c>
      <c r="M26" s="119">
        <f t="shared" si="1"/>
        <v>28</v>
      </c>
    </row>
    <row r="27" spans="1:13" ht="15.75" thickBot="1">
      <c r="A27" s="195"/>
      <c r="B27" s="198"/>
      <c r="C27" s="100" t="s">
        <v>517</v>
      </c>
      <c r="D27" s="120">
        <f>217</f>
        <v>217</v>
      </c>
      <c r="E27" s="120">
        <f>350</f>
        <v>350</v>
      </c>
      <c r="F27" s="121">
        <f t="shared" si="0"/>
        <v>567</v>
      </c>
      <c r="G27" s="120">
        <f>213</f>
        <v>213</v>
      </c>
      <c r="H27" s="120">
        <f>180</f>
        <v>180</v>
      </c>
      <c r="I27" s="120">
        <v>1205</v>
      </c>
      <c r="J27" s="120">
        <f>103</f>
        <v>103</v>
      </c>
      <c r="K27" s="120">
        <v>165</v>
      </c>
      <c r="L27" s="122">
        <v>156</v>
      </c>
      <c r="M27" s="123">
        <f t="shared" si="1"/>
        <v>1629</v>
      </c>
    </row>
    <row r="28" spans="1:13" ht="15">
      <c r="A28" s="190">
        <v>7</v>
      </c>
      <c r="B28" s="199" t="s">
        <v>506</v>
      </c>
      <c r="C28" s="106" t="s">
        <v>518</v>
      </c>
      <c r="D28" s="107">
        <f>2</f>
        <v>2</v>
      </c>
      <c r="E28" s="107">
        <f>4</f>
        <v>4</v>
      </c>
      <c r="F28" s="107">
        <f t="shared" si="0"/>
        <v>6</v>
      </c>
      <c r="G28" s="107">
        <f>1</f>
        <v>1</v>
      </c>
      <c r="H28" s="107">
        <f>1</f>
        <v>1</v>
      </c>
      <c r="I28" s="107">
        <v>10</v>
      </c>
      <c r="J28" s="107">
        <f>1</f>
        <v>1</v>
      </c>
      <c r="K28" s="107"/>
      <c r="L28" s="108"/>
      <c r="M28" s="109">
        <f t="shared" si="1"/>
        <v>11</v>
      </c>
    </row>
    <row r="29" spans="1:13" ht="15">
      <c r="A29" s="191"/>
      <c r="B29" s="200"/>
      <c r="C29" s="99" t="s">
        <v>520</v>
      </c>
      <c r="D29" s="110">
        <f>25</f>
        <v>25</v>
      </c>
      <c r="E29" s="110">
        <f>8</f>
        <v>8</v>
      </c>
      <c r="F29" s="111">
        <f t="shared" si="0"/>
        <v>33</v>
      </c>
      <c r="G29" s="110">
        <f>3</f>
        <v>3</v>
      </c>
      <c r="H29" s="110">
        <f>2</f>
        <v>2</v>
      </c>
      <c r="I29" s="110">
        <v>53</v>
      </c>
      <c r="J29" s="110">
        <f>1</f>
        <v>1</v>
      </c>
      <c r="K29" s="110"/>
      <c r="L29" s="112"/>
      <c r="M29" s="119">
        <f t="shared" si="1"/>
        <v>54</v>
      </c>
    </row>
    <row r="30" spans="1:13" ht="15.75" thickBot="1">
      <c r="A30" s="192"/>
      <c r="B30" s="201"/>
      <c r="C30" s="100" t="s">
        <v>517</v>
      </c>
      <c r="D30" s="120">
        <f>440</f>
        <v>440</v>
      </c>
      <c r="E30" s="120">
        <f>136</f>
        <v>136</v>
      </c>
      <c r="F30" s="121">
        <f t="shared" si="0"/>
        <v>576</v>
      </c>
      <c r="G30" s="120">
        <f>34</f>
        <v>34</v>
      </c>
      <c r="H30" s="120">
        <f>25</f>
        <v>25</v>
      </c>
      <c r="I30" s="120">
        <v>1212</v>
      </c>
      <c r="J30" s="120">
        <f>44</f>
        <v>44</v>
      </c>
      <c r="K30" s="120"/>
      <c r="L30" s="122"/>
      <c r="M30" s="123">
        <f t="shared" si="1"/>
        <v>1256</v>
      </c>
    </row>
    <row r="31" spans="1:13" ht="15">
      <c r="A31" s="190">
        <v>8</v>
      </c>
      <c r="B31" s="199" t="s">
        <v>507</v>
      </c>
      <c r="C31" s="106" t="s">
        <v>518</v>
      </c>
      <c r="D31" s="107">
        <f>7</f>
        <v>7</v>
      </c>
      <c r="E31" s="107">
        <f>3</f>
        <v>3</v>
      </c>
      <c r="F31" s="107">
        <f t="shared" si="0"/>
        <v>10</v>
      </c>
      <c r="G31" s="107">
        <f>2</f>
        <v>2</v>
      </c>
      <c r="H31" s="107"/>
      <c r="I31" s="107">
        <v>5</v>
      </c>
      <c r="J31" s="107">
        <v>2</v>
      </c>
      <c r="K31" s="107">
        <v>4</v>
      </c>
      <c r="L31" s="108">
        <v>2</v>
      </c>
      <c r="M31" s="109">
        <f t="shared" si="1"/>
        <v>13</v>
      </c>
    </row>
    <row r="32" spans="1:13" ht="15">
      <c r="A32" s="191"/>
      <c r="B32" s="200"/>
      <c r="C32" s="99" t="s">
        <v>520</v>
      </c>
      <c r="D32" s="110">
        <f>12</f>
        <v>12</v>
      </c>
      <c r="E32" s="110">
        <f>3</f>
        <v>3</v>
      </c>
      <c r="F32" s="111">
        <f t="shared" si="0"/>
        <v>15</v>
      </c>
      <c r="G32" s="110">
        <f>3</f>
        <v>3</v>
      </c>
      <c r="H32" s="110"/>
      <c r="I32" s="110">
        <v>9</v>
      </c>
      <c r="J32" s="110">
        <v>3</v>
      </c>
      <c r="K32" s="110">
        <v>4</v>
      </c>
      <c r="L32" s="112">
        <v>3</v>
      </c>
      <c r="M32" s="119">
        <f t="shared" si="1"/>
        <v>19</v>
      </c>
    </row>
    <row r="33" spans="1:13" ht="15.75" thickBot="1">
      <c r="A33" s="192"/>
      <c r="B33" s="201"/>
      <c r="C33" s="100" t="s">
        <v>517</v>
      </c>
      <c r="D33" s="120">
        <f>224</f>
        <v>224</v>
      </c>
      <c r="E33" s="120">
        <f>74</f>
        <v>74</v>
      </c>
      <c r="F33" s="121">
        <f t="shared" si="0"/>
        <v>298</v>
      </c>
      <c r="G33" s="120">
        <f>72</f>
        <v>72</v>
      </c>
      <c r="H33" s="120"/>
      <c r="I33" s="120">
        <v>164</v>
      </c>
      <c r="J33" s="120">
        <v>43</v>
      </c>
      <c r="K33" s="120">
        <v>92</v>
      </c>
      <c r="L33" s="122">
        <v>72</v>
      </c>
      <c r="M33" s="123">
        <f>SUM(I33:L33)</f>
        <v>371</v>
      </c>
    </row>
    <row r="34" spans="1:13" ht="15">
      <c r="A34" s="190">
        <v>9</v>
      </c>
      <c r="B34" s="199" t="s">
        <v>508</v>
      </c>
      <c r="C34" s="106" t="s">
        <v>518</v>
      </c>
      <c r="D34" s="107"/>
      <c r="E34" s="107">
        <f>1</f>
        <v>1</v>
      </c>
      <c r="F34" s="107">
        <f t="shared" si="0"/>
        <v>1</v>
      </c>
      <c r="G34" s="107"/>
      <c r="H34" s="107">
        <f>1</f>
        <v>1</v>
      </c>
      <c r="I34" s="107">
        <v>4</v>
      </c>
      <c r="J34" s="107">
        <v>2</v>
      </c>
      <c r="K34" s="107">
        <f>1</f>
        <v>1</v>
      </c>
      <c r="L34" s="108">
        <f>1</f>
        <v>1</v>
      </c>
      <c r="M34" s="109">
        <f t="shared" si="1"/>
        <v>8</v>
      </c>
    </row>
    <row r="35" spans="1:13" ht="15">
      <c r="A35" s="191"/>
      <c r="B35" s="200"/>
      <c r="C35" s="99" t="s">
        <v>520</v>
      </c>
      <c r="D35" s="110"/>
      <c r="E35" s="110">
        <f>1</f>
        <v>1</v>
      </c>
      <c r="F35" s="111">
        <f t="shared" si="0"/>
        <v>1</v>
      </c>
      <c r="G35" s="110"/>
      <c r="H35" s="110">
        <f>1</f>
        <v>1</v>
      </c>
      <c r="I35" s="110">
        <v>4</v>
      </c>
      <c r="J35" s="110">
        <v>2</v>
      </c>
      <c r="K35" s="110">
        <v>2</v>
      </c>
      <c r="L35" s="112">
        <f>1</f>
        <v>1</v>
      </c>
      <c r="M35" s="119">
        <f t="shared" si="1"/>
        <v>9</v>
      </c>
    </row>
    <row r="36" spans="1:13" ht="15.75" thickBot="1">
      <c r="A36" s="192"/>
      <c r="B36" s="201"/>
      <c r="C36" s="100" t="s">
        <v>517</v>
      </c>
      <c r="D36" s="120"/>
      <c r="E36" s="120">
        <f>30</f>
        <v>30</v>
      </c>
      <c r="F36" s="121">
        <f t="shared" si="0"/>
        <v>30</v>
      </c>
      <c r="G36" s="120"/>
      <c r="H36" s="120">
        <f>30</f>
        <v>30</v>
      </c>
      <c r="I36" s="120">
        <v>109</v>
      </c>
      <c r="J36" s="120">
        <v>32</v>
      </c>
      <c r="K36" s="120">
        <v>32</v>
      </c>
      <c r="L36" s="122">
        <f>50</f>
        <v>50</v>
      </c>
      <c r="M36" s="123">
        <f t="shared" si="1"/>
        <v>223</v>
      </c>
    </row>
    <row r="37" spans="1:13" ht="15">
      <c r="A37" s="190">
        <v>10</v>
      </c>
      <c r="B37" s="199" t="s">
        <v>509</v>
      </c>
      <c r="C37" s="106" t="s">
        <v>518</v>
      </c>
      <c r="D37" s="107">
        <f>4</f>
        <v>4</v>
      </c>
      <c r="E37" s="107">
        <f>6</f>
        <v>6</v>
      </c>
      <c r="F37" s="107">
        <f t="shared" si="0"/>
        <v>10</v>
      </c>
      <c r="G37" s="107">
        <f>5</f>
        <v>5</v>
      </c>
      <c r="H37" s="107">
        <f>2</f>
        <v>2</v>
      </c>
      <c r="I37" s="107">
        <v>18</v>
      </c>
      <c r="J37" s="107"/>
      <c r="K37" s="107"/>
      <c r="L37" s="108"/>
      <c r="M37" s="109">
        <f t="shared" si="1"/>
        <v>18</v>
      </c>
    </row>
    <row r="38" spans="1:13" ht="15">
      <c r="A38" s="191"/>
      <c r="B38" s="200"/>
      <c r="C38" s="99" t="s">
        <v>520</v>
      </c>
      <c r="D38" s="110">
        <f>5</f>
        <v>5</v>
      </c>
      <c r="E38" s="110">
        <f>6</f>
        <v>6</v>
      </c>
      <c r="F38" s="111">
        <f t="shared" si="0"/>
        <v>11</v>
      </c>
      <c r="G38" s="110">
        <f>6</f>
        <v>6</v>
      </c>
      <c r="H38" s="110">
        <f>2</f>
        <v>2</v>
      </c>
      <c r="I38" s="110">
        <v>21</v>
      </c>
      <c r="J38" s="110"/>
      <c r="K38" s="110"/>
      <c r="L38" s="112"/>
      <c r="M38" s="119">
        <f t="shared" si="1"/>
        <v>21</v>
      </c>
    </row>
    <row r="39" spans="1:13" ht="15.75" thickBot="1">
      <c r="A39" s="192"/>
      <c r="B39" s="201"/>
      <c r="C39" s="100" t="s">
        <v>517</v>
      </c>
      <c r="D39" s="120">
        <f>143</f>
        <v>143</v>
      </c>
      <c r="E39" s="120">
        <f>200</f>
        <v>200</v>
      </c>
      <c r="F39" s="121">
        <f t="shared" si="0"/>
        <v>343</v>
      </c>
      <c r="G39" s="120">
        <f>149</f>
        <v>149</v>
      </c>
      <c r="H39" s="120">
        <f>102</f>
        <v>102</v>
      </c>
      <c r="I39" s="120">
        <v>625</v>
      </c>
      <c r="J39" s="120"/>
      <c r="K39" s="120"/>
      <c r="L39" s="122"/>
      <c r="M39" s="123">
        <f t="shared" si="1"/>
        <v>625</v>
      </c>
    </row>
    <row r="40" spans="1:13" ht="15">
      <c r="A40" s="190">
        <v>11</v>
      </c>
      <c r="B40" s="199" t="s">
        <v>510</v>
      </c>
      <c r="C40" s="106" t="s">
        <v>518</v>
      </c>
      <c r="D40" s="107">
        <f>2</f>
        <v>2</v>
      </c>
      <c r="E40" s="107">
        <f>2</f>
        <v>2</v>
      </c>
      <c r="F40" s="107">
        <f t="shared" si="0"/>
        <v>4</v>
      </c>
      <c r="G40" s="107">
        <f>2</f>
        <v>2</v>
      </c>
      <c r="H40" s="107">
        <f>2</f>
        <v>2</v>
      </c>
      <c r="I40" s="107">
        <v>2</v>
      </c>
      <c r="J40" s="107">
        <f>1</f>
        <v>1</v>
      </c>
      <c r="K40" s="107">
        <f>1</f>
        <v>1</v>
      </c>
      <c r="L40" s="108">
        <f>3</f>
        <v>3</v>
      </c>
      <c r="M40" s="109">
        <f t="shared" si="1"/>
        <v>7</v>
      </c>
    </row>
    <row r="41" spans="1:13" ht="15">
      <c r="A41" s="191"/>
      <c r="B41" s="200"/>
      <c r="C41" s="99" t="s">
        <v>520</v>
      </c>
      <c r="D41" s="110">
        <f>3</f>
        <v>3</v>
      </c>
      <c r="E41" s="110">
        <f>3</f>
        <v>3</v>
      </c>
      <c r="F41" s="111">
        <f t="shared" si="0"/>
        <v>6</v>
      </c>
      <c r="G41" s="110">
        <f>4</f>
        <v>4</v>
      </c>
      <c r="H41" s="110">
        <f>3</f>
        <v>3</v>
      </c>
      <c r="I41" s="110">
        <v>15</v>
      </c>
      <c r="J41" s="110">
        <f>3</f>
        <v>3</v>
      </c>
      <c r="K41" s="110">
        <f>2</f>
        <v>2</v>
      </c>
      <c r="L41" s="112">
        <f>5</f>
        <v>5</v>
      </c>
      <c r="M41" s="119">
        <f t="shared" si="1"/>
        <v>25</v>
      </c>
    </row>
    <row r="42" spans="1:13" ht="15.75" thickBot="1">
      <c r="A42" s="192"/>
      <c r="B42" s="201"/>
      <c r="C42" s="100" t="s">
        <v>517</v>
      </c>
      <c r="D42" s="120">
        <f>111</f>
        <v>111</v>
      </c>
      <c r="E42" s="120">
        <f>118</f>
        <v>118</v>
      </c>
      <c r="F42" s="121">
        <f t="shared" si="0"/>
        <v>229</v>
      </c>
      <c r="G42" s="120">
        <f>136</f>
        <v>136</v>
      </c>
      <c r="H42" s="120">
        <f>55</f>
        <v>55</v>
      </c>
      <c r="I42" s="120">
        <v>510</v>
      </c>
      <c r="J42" s="120">
        <f>45</f>
        <v>45</v>
      </c>
      <c r="K42" s="120">
        <f>100</f>
        <v>100</v>
      </c>
      <c r="L42" s="122">
        <f>153</f>
        <v>153</v>
      </c>
      <c r="M42" s="123">
        <f t="shared" si="1"/>
        <v>808</v>
      </c>
    </row>
    <row r="43" spans="1:13" ht="15">
      <c r="A43" s="190">
        <v>12</v>
      </c>
      <c r="B43" s="199" t="s">
        <v>511</v>
      </c>
      <c r="C43" s="106" t="s">
        <v>518</v>
      </c>
      <c r="D43" s="107">
        <f>1</f>
        <v>1</v>
      </c>
      <c r="E43" s="107">
        <v>1</v>
      </c>
      <c r="F43" s="107">
        <f t="shared" si="0"/>
        <v>2</v>
      </c>
      <c r="G43" s="107">
        <v>2</v>
      </c>
      <c r="H43" s="107">
        <v>1</v>
      </c>
      <c r="I43" s="107">
        <v>6</v>
      </c>
      <c r="J43" s="107">
        <v>1</v>
      </c>
      <c r="K43" s="107">
        <v>1</v>
      </c>
      <c r="L43" s="108">
        <v>1</v>
      </c>
      <c r="M43" s="109">
        <f t="shared" si="1"/>
        <v>9</v>
      </c>
    </row>
    <row r="44" spans="1:13" ht="15">
      <c r="A44" s="191"/>
      <c r="B44" s="200"/>
      <c r="C44" s="99" t="s">
        <v>520</v>
      </c>
      <c r="D44" s="110">
        <v>1</v>
      </c>
      <c r="E44" s="110">
        <v>1</v>
      </c>
      <c r="F44" s="111">
        <f t="shared" si="0"/>
        <v>2</v>
      </c>
      <c r="G44" s="110">
        <v>2</v>
      </c>
      <c r="H44" s="110">
        <v>1</v>
      </c>
      <c r="I44" s="110">
        <v>6</v>
      </c>
      <c r="J44" s="110">
        <v>1</v>
      </c>
      <c r="K44" s="110">
        <v>1</v>
      </c>
      <c r="L44" s="112">
        <v>1</v>
      </c>
      <c r="M44" s="119">
        <f t="shared" si="1"/>
        <v>9</v>
      </c>
    </row>
    <row r="45" spans="1:13" ht="15.75" thickBot="1">
      <c r="A45" s="192"/>
      <c r="B45" s="201"/>
      <c r="C45" s="100" t="s">
        <v>517</v>
      </c>
      <c r="D45" s="120">
        <v>117</v>
      </c>
      <c r="E45" s="120">
        <v>40</v>
      </c>
      <c r="F45" s="121">
        <f t="shared" si="0"/>
        <v>157</v>
      </c>
      <c r="G45" s="120">
        <v>120</v>
      </c>
      <c r="H45" s="120">
        <v>40</v>
      </c>
      <c r="I45" s="120">
        <v>368</v>
      </c>
      <c r="J45" s="120">
        <v>90</v>
      </c>
      <c r="K45" s="120">
        <v>30</v>
      </c>
      <c r="L45" s="122">
        <v>35</v>
      </c>
      <c r="M45" s="123">
        <f t="shared" si="1"/>
        <v>523</v>
      </c>
    </row>
    <row r="46" spans="1:13" ht="15">
      <c r="A46" s="190">
        <v>13</v>
      </c>
      <c r="B46" s="199" t="s">
        <v>512</v>
      </c>
      <c r="C46" s="106" t="s">
        <v>518</v>
      </c>
      <c r="D46" s="107">
        <f>1</f>
        <v>1</v>
      </c>
      <c r="E46" s="107">
        <v>5</v>
      </c>
      <c r="F46" s="107">
        <f t="shared" si="0"/>
        <v>6</v>
      </c>
      <c r="G46" s="107">
        <v>2</v>
      </c>
      <c r="H46" s="107"/>
      <c r="I46" s="107"/>
      <c r="J46" s="107"/>
      <c r="K46" s="107">
        <v>1</v>
      </c>
      <c r="L46" s="108"/>
      <c r="M46" s="109">
        <f t="shared" si="1"/>
        <v>1</v>
      </c>
    </row>
    <row r="47" spans="1:13" ht="15">
      <c r="A47" s="191"/>
      <c r="B47" s="200"/>
      <c r="C47" s="99" t="s">
        <v>520</v>
      </c>
      <c r="D47" s="110">
        <v>2</v>
      </c>
      <c r="E47" s="110">
        <v>5</v>
      </c>
      <c r="F47" s="111">
        <f t="shared" si="0"/>
        <v>7</v>
      </c>
      <c r="G47" s="110">
        <v>2</v>
      </c>
      <c r="H47" s="110"/>
      <c r="I47" s="110"/>
      <c r="J47" s="110"/>
      <c r="K47" s="110">
        <v>1</v>
      </c>
      <c r="L47" s="112"/>
      <c r="M47" s="119">
        <f t="shared" si="1"/>
        <v>1</v>
      </c>
    </row>
    <row r="48" spans="1:13" ht="15.75" thickBot="1">
      <c r="A48" s="192"/>
      <c r="B48" s="201"/>
      <c r="C48" s="100" t="s">
        <v>517</v>
      </c>
      <c r="D48" s="120">
        <v>70</v>
      </c>
      <c r="E48" s="120">
        <v>120</v>
      </c>
      <c r="F48" s="121">
        <f t="shared" si="0"/>
        <v>190</v>
      </c>
      <c r="G48" s="120">
        <v>30</v>
      </c>
      <c r="H48" s="120"/>
      <c r="I48" s="120"/>
      <c r="J48" s="120"/>
      <c r="K48" s="120">
        <v>50</v>
      </c>
      <c r="L48" s="122"/>
      <c r="M48" s="123">
        <f t="shared" si="1"/>
        <v>50</v>
      </c>
    </row>
    <row r="49" spans="1:13" ht="15">
      <c r="A49" s="190">
        <v>14</v>
      </c>
      <c r="B49" s="199" t="s">
        <v>513</v>
      </c>
      <c r="C49" s="106" t="s">
        <v>518</v>
      </c>
      <c r="D49" s="107">
        <f>9</f>
        <v>9</v>
      </c>
      <c r="E49" s="107">
        <f>22</f>
        <v>22</v>
      </c>
      <c r="F49" s="107">
        <f t="shared" si="0"/>
        <v>31</v>
      </c>
      <c r="G49" s="107">
        <f>14</f>
        <v>14</v>
      </c>
      <c r="H49" s="107">
        <f>6</f>
        <v>6</v>
      </c>
      <c r="I49" s="107">
        <v>41</v>
      </c>
      <c r="J49" s="107">
        <v>2</v>
      </c>
      <c r="K49" s="107">
        <v>2</v>
      </c>
      <c r="L49" s="108">
        <v>1</v>
      </c>
      <c r="M49" s="109">
        <f t="shared" si="1"/>
        <v>46</v>
      </c>
    </row>
    <row r="50" spans="1:13" ht="15">
      <c r="A50" s="191"/>
      <c r="B50" s="200"/>
      <c r="C50" s="99" t="s">
        <v>520</v>
      </c>
      <c r="D50" s="110">
        <v>16</v>
      </c>
      <c r="E50" s="110">
        <f>47</f>
        <v>47</v>
      </c>
      <c r="F50" s="111">
        <f t="shared" si="0"/>
        <v>63</v>
      </c>
      <c r="G50" s="110">
        <f>26</f>
        <v>26</v>
      </c>
      <c r="H50" s="110">
        <f>9</f>
        <v>9</v>
      </c>
      <c r="I50" s="110">
        <v>107</v>
      </c>
      <c r="J50" s="110">
        <v>2</v>
      </c>
      <c r="K50" s="110">
        <v>2</v>
      </c>
      <c r="L50" s="112">
        <v>1</v>
      </c>
      <c r="M50" s="119">
        <f t="shared" si="1"/>
        <v>112</v>
      </c>
    </row>
    <row r="51" spans="1:13" ht="15.75" thickBot="1">
      <c r="A51" s="192"/>
      <c r="B51" s="201"/>
      <c r="C51" s="100" t="s">
        <v>517</v>
      </c>
      <c r="D51" s="120">
        <v>629</v>
      </c>
      <c r="E51" s="120">
        <f>1777</f>
        <v>1777</v>
      </c>
      <c r="F51" s="121">
        <f t="shared" si="0"/>
        <v>2406</v>
      </c>
      <c r="G51" s="120">
        <f>608</f>
        <v>608</v>
      </c>
      <c r="H51" s="120">
        <f>484</f>
        <v>484</v>
      </c>
      <c r="I51" s="120">
        <v>3773</v>
      </c>
      <c r="J51" s="120">
        <v>61</v>
      </c>
      <c r="K51" s="120">
        <v>345</v>
      </c>
      <c r="L51" s="122">
        <v>50</v>
      </c>
      <c r="M51" s="123">
        <f t="shared" si="1"/>
        <v>4229</v>
      </c>
    </row>
    <row r="52" spans="1:13" ht="15">
      <c r="A52" s="190">
        <v>15</v>
      </c>
      <c r="B52" s="199" t="s">
        <v>514</v>
      </c>
      <c r="C52" s="106" t="s">
        <v>518</v>
      </c>
      <c r="D52" s="107"/>
      <c r="E52" s="107">
        <f>6</f>
        <v>6</v>
      </c>
      <c r="F52" s="107">
        <f t="shared" si="0"/>
        <v>6</v>
      </c>
      <c r="G52" s="107">
        <f>29</f>
        <v>29</v>
      </c>
      <c r="H52" s="107">
        <f>7</f>
        <v>7</v>
      </c>
      <c r="I52" s="107">
        <v>34</v>
      </c>
      <c r="J52" s="107">
        <v>3</v>
      </c>
      <c r="K52" s="107">
        <v>5</v>
      </c>
      <c r="L52" s="108">
        <v>1</v>
      </c>
      <c r="M52" s="109">
        <f t="shared" si="1"/>
        <v>43</v>
      </c>
    </row>
    <row r="53" spans="1:13" ht="15">
      <c r="A53" s="191"/>
      <c r="B53" s="200"/>
      <c r="C53" s="99" t="s">
        <v>520</v>
      </c>
      <c r="D53" s="110"/>
      <c r="E53" s="110">
        <f>18</f>
        <v>18</v>
      </c>
      <c r="F53" s="111">
        <f t="shared" si="0"/>
        <v>18</v>
      </c>
      <c r="G53" s="110">
        <f>52</f>
        <v>52</v>
      </c>
      <c r="H53" s="110">
        <f>7</f>
        <v>7</v>
      </c>
      <c r="I53" s="110">
        <v>95</v>
      </c>
      <c r="J53" s="110">
        <v>5</v>
      </c>
      <c r="K53" s="110">
        <v>5</v>
      </c>
      <c r="L53" s="112">
        <v>1</v>
      </c>
      <c r="M53" s="119">
        <f t="shared" si="1"/>
        <v>106</v>
      </c>
    </row>
    <row r="54" spans="1:13" ht="15.75" thickBot="1">
      <c r="A54" s="192"/>
      <c r="B54" s="201"/>
      <c r="C54" s="100" t="s">
        <v>517</v>
      </c>
      <c r="D54" s="120"/>
      <c r="E54" s="120">
        <f>436</f>
        <v>436</v>
      </c>
      <c r="F54" s="121">
        <f t="shared" si="0"/>
        <v>436</v>
      </c>
      <c r="G54" s="120">
        <f>1242</f>
        <v>1242</v>
      </c>
      <c r="H54" s="120">
        <v>178</v>
      </c>
      <c r="I54" s="120">
        <v>3010</v>
      </c>
      <c r="J54" s="120">
        <v>131</v>
      </c>
      <c r="K54" s="120">
        <v>185</v>
      </c>
      <c r="L54" s="122">
        <v>40</v>
      </c>
      <c r="M54" s="123">
        <f t="shared" si="1"/>
        <v>3366</v>
      </c>
    </row>
    <row r="55" spans="1:13" ht="15">
      <c r="A55" s="190">
        <v>16</v>
      </c>
      <c r="B55" s="199" t="s">
        <v>515</v>
      </c>
      <c r="C55" s="106" t="s">
        <v>518</v>
      </c>
      <c r="D55" s="107">
        <f>15</f>
        <v>15</v>
      </c>
      <c r="E55" s="107">
        <v>14</v>
      </c>
      <c r="F55" s="107">
        <f t="shared" si="0"/>
        <v>29</v>
      </c>
      <c r="G55" s="107">
        <v>9</v>
      </c>
      <c r="H55" s="107">
        <v>2</v>
      </c>
      <c r="I55" s="107">
        <v>38</v>
      </c>
      <c r="J55" s="107"/>
      <c r="K55" s="107">
        <v>1</v>
      </c>
      <c r="L55" s="108"/>
      <c r="M55" s="109">
        <f t="shared" si="1"/>
        <v>39</v>
      </c>
    </row>
    <row r="56" spans="1:13" ht="15">
      <c r="A56" s="191"/>
      <c r="B56" s="200"/>
      <c r="C56" s="99" t="s">
        <v>520</v>
      </c>
      <c r="D56" s="110">
        <v>26</v>
      </c>
      <c r="E56" s="110">
        <v>22</v>
      </c>
      <c r="F56" s="111">
        <f t="shared" si="0"/>
        <v>48</v>
      </c>
      <c r="G56" s="110">
        <v>10</v>
      </c>
      <c r="H56" s="110">
        <v>2</v>
      </c>
      <c r="I56" s="110">
        <v>66</v>
      </c>
      <c r="J56" s="110"/>
      <c r="K56" s="110">
        <v>1</v>
      </c>
      <c r="L56" s="112"/>
      <c r="M56" s="119">
        <f t="shared" si="1"/>
        <v>67</v>
      </c>
    </row>
    <row r="57" spans="1:13" ht="15.75" thickBot="1">
      <c r="A57" s="192"/>
      <c r="B57" s="201"/>
      <c r="C57" s="100" t="s">
        <v>517</v>
      </c>
      <c r="D57" s="120">
        <v>502</v>
      </c>
      <c r="E57" s="120">
        <v>511</v>
      </c>
      <c r="F57" s="121">
        <f t="shared" si="0"/>
        <v>1013</v>
      </c>
      <c r="G57" s="120">
        <v>247</v>
      </c>
      <c r="H57" s="120">
        <v>55</v>
      </c>
      <c r="I57" s="120">
        <v>1607</v>
      </c>
      <c r="J57" s="120"/>
      <c r="K57" s="120">
        <v>17</v>
      </c>
      <c r="L57" s="122"/>
      <c r="M57" s="123">
        <f t="shared" si="1"/>
        <v>1624</v>
      </c>
    </row>
    <row r="58" spans="1:13" ht="15">
      <c r="A58" s="185" t="s">
        <v>477</v>
      </c>
      <c r="B58" s="179"/>
      <c r="C58" s="130" t="s">
        <v>518</v>
      </c>
      <c r="D58" s="131">
        <f>D10+D13+D16+D19+D22+D25+D28+D31+D34+D37+D40+D43+D46+D49+D52+D55</f>
        <v>68</v>
      </c>
      <c r="E58" s="131">
        <f aca="true" t="shared" si="2" ref="E58:L58">E10+E13+E16+E19+E22+E25+E28+E31+E34+E37+E40+E43+E46+E49+E52+E55</f>
        <v>87</v>
      </c>
      <c r="F58" s="131">
        <f t="shared" si="2"/>
        <v>155</v>
      </c>
      <c r="G58" s="131">
        <f t="shared" si="2"/>
        <v>90</v>
      </c>
      <c r="H58" s="131">
        <f t="shared" si="2"/>
        <v>40</v>
      </c>
      <c r="I58" s="131">
        <f>I10+I13+I16+I19+I22+I25+I28+I31+I34+I37+I40+I43+I46+I49+I52+I55</f>
        <v>269</v>
      </c>
      <c r="J58" s="131">
        <f>J10+J13+J16+J19+J22+J25+J28+J31+J34+J37+J40+J43+J46+J49+J52+J55</f>
        <v>21</v>
      </c>
      <c r="K58" s="131">
        <f t="shared" si="2"/>
        <v>26</v>
      </c>
      <c r="L58" s="132">
        <f t="shared" si="2"/>
        <v>16</v>
      </c>
      <c r="M58" s="133">
        <f t="shared" si="1"/>
        <v>332</v>
      </c>
    </row>
    <row r="59" spans="1:13" ht="15">
      <c r="A59" s="186"/>
      <c r="B59" s="187"/>
      <c r="C59" s="134" t="s">
        <v>520</v>
      </c>
      <c r="D59" s="135">
        <f aca="true" t="shared" si="3" ref="D59:L60">D11+D14+D17+D20+D23+D26+D29+D32+D35+D38+D41+D44+D47+D50+D53+D56</f>
        <v>134</v>
      </c>
      <c r="E59" s="135">
        <f t="shared" si="3"/>
        <v>141</v>
      </c>
      <c r="F59" s="135">
        <f t="shared" si="3"/>
        <v>275</v>
      </c>
      <c r="G59" s="135">
        <f t="shared" si="3"/>
        <v>134</v>
      </c>
      <c r="H59" s="135">
        <f t="shared" si="3"/>
        <v>49</v>
      </c>
      <c r="I59" s="135">
        <f t="shared" si="3"/>
        <v>534</v>
      </c>
      <c r="J59" s="135">
        <f t="shared" si="3"/>
        <v>44</v>
      </c>
      <c r="K59" s="135">
        <f t="shared" si="3"/>
        <v>29</v>
      </c>
      <c r="L59" s="136">
        <f t="shared" si="3"/>
        <v>19</v>
      </c>
      <c r="M59" s="137">
        <f t="shared" si="1"/>
        <v>626</v>
      </c>
    </row>
    <row r="60" spans="1:14" ht="15.75" thickBot="1">
      <c r="A60" s="188"/>
      <c r="B60" s="189"/>
      <c r="C60" s="138" t="s">
        <v>517</v>
      </c>
      <c r="D60" s="139">
        <f t="shared" si="3"/>
        <v>8113</v>
      </c>
      <c r="E60" s="139">
        <f t="shared" si="3"/>
        <v>7646</v>
      </c>
      <c r="F60" s="139">
        <f t="shared" si="3"/>
        <v>15759</v>
      </c>
      <c r="G60" s="139">
        <f t="shared" si="3"/>
        <v>8034</v>
      </c>
      <c r="H60" s="139">
        <f t="shared" si="3"/>
        <v>4400</v>
      </c>
      <c r="I60" s="139">
        <f t="shared" si="3"/>
        <v>33772</v>
      </c>
      <c r="J60" s="139">
        <f t="shared" si="3"/>
        <v>1954</v>
      </c>
      <c r="K60" s="139">
        <f t="shared" si="3"/>
        <v>1189</v>
      </c>
      <c r="L60" s="140">
        <f t="shared" si="3"/>
        <v>764</v>
      </c>
      <c r="M60" s="141">
        <v>37679</v>
      </c>
      <c r="N60" s="95">
        <f>M57+M54+M51+M48+M45+M42+M39+M36+M33+M30+M27+M24+M21+M18+M15+M12</f>
        <v>37679</v>
      </c>
    </row>
    <row r="61" spans="1:13" ht="15">
      <c r="A61" s="54"/>
      <c r="B61" s="54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</row>
  </sheetData>
  <sheetProtection/>
  <mergeCells count="40">
    <mergeCell ref="B10:B12"/>
    <mergeCell ref="A10:A12"/>
    <mergeCell ref="A13:A15"/>
    <mergeCell ref="B13:B15"/>
    <mergeCell ref="B16:B18"/>
    <mergeCell ref="A16:A18"/>
    <mergeCell ref="B19:B21"/>
    <mergeCell ref="A19:A21"/>
    <mergeCell ref="B22:B24"/>
    <mergeCell ref="A55:A57"/>
    <mergeCell ref="B55:B57"/>
    <mergeCell ref="A52:A54"/>
    <mergeCell ref="B52:B54"/>
    <mergeCell ref="B49:B51"/>
    <mergeCell ref="A49:A51"/>
    <mergeCell ref="B46:B48"/>
    <mergeCell ref="A46:A48"/>
    <mergeCell ref="B43:B45"/>
    <mergeCell ref="A43:A45"/>
    <mergeCell ref="B37:B39"/>
    <mergeCell ref="A37:A39"/>
    <mergeCell ref="B40:B42"/>
    <mergeCell ref="A40:A42"/>
    <mergeCell ref="A58:B60"/>
    <mergeCell ref="A22:A24"/>
    <mergeCell ref="A25:A27"/>
    <mergeCell ref="B25:B27"/>
    <mergeCell ref="B28:B30"/>
    <mergeCell ref="A28:A30"/>
    <mergeCell ref="B31:B33"/>
    <mergeCell ref="A31:A33"/>
    <mergeCell ref="B34:B36"/>
    <mergeCell ref="A34:A36"/>
    <mergeCell ref="A5:M5"/>
    <mergeCell ref="A6:M6"/>
    <mergeCell ref="A8:A9"/>
    <mergeCell ref="B8:B9"/>
    <mergeCell ref="C8:C9"/>
    <mergeCell ref="D8:L8"/>
    <mergeCell ref="M8:M9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</dc:creator>
  <cp:keywords/>
  <dc:description/>
  <cp:lastModifiedBy>Admin</cp:lastModifiedBy>
  <cp:lastPrinted>2012-08-30T12:09:47Z</cp:lastPrinted>
  <dcterms:created xsi:type="dcterms:W3CDTF">2008-03-06T06:39:02Z</dcterms:created>
  <dcterms:modified xsi:type="dcterms:W3CDTF">2012-11-19T11:46:47Z</dcterms:modified>
  <cp:category/>
  <cp:version/>
  <cp:contentType/>
  <cp:contentStatus/>
</cp:coreProperties>
</file>