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firstSheet="2" activeTab="2"/>
  </bookViews>
  <sheets>
    <sheet name="Додаток 1" sheetId="1" r:id="rId1"/>
    <sheet name="Додаток 2" sheetId="2" r:id="rId2"/>
    <sheet name="Додаток 3" sheetId="3" r:id="rId3"/>
    <sheet name="Додаток 3.1" sheetId="4" r:id="rId4"/>
    <sheet name="Додаток 4" sheetId="5" r:id="rId5"/>
    <sheet name="Додаток 5" sheetId="6" r:id="rId6"/>
    <sheet name="Додаток 6" sheetId="7" r:id="rId7"/>
    <sheet name="Додаток 7" sheetId="8" r:id="rId8"/>
    <sheet name="Додаток 8" sheetId="9" r:id="rId9"/>
    <sheet name="Додаток 9" sheetId="10" r:id="rId10"/>
    <sheet name="Додаток 10" sheetId="11" r:id="rId11"/>
    <sheet name="Додаток 11" sheetId="12" r:id="rId12"/>
  </sheets>
  <externalReferences>
    <externalReference r:id="rId15"/>
    <externalReference r:id="rId16"/>
  </externalReferences>
  <definedNames>
    <definedName name="_ftn1" localSheetId="0">'Додаток 1'!$A$101</definedName>
    <definedName name="_ftn2" localSheetId="0">'Додаток 1'!$A$102</definedName>
    <definedName name="_ftnref1" localSheetId="0">'Додаток 1'!$A$80</definedName>
    <definedName name="_ftnref2" localSheetId="0">'Додаток 1'!$A$86</definedName>
    <definedName name="_xlnm.Print_Titles" localSheetId="0">'Додаток 1'!$6:$8</definedName>
    <definedName name="_xlnm.Print_Area" localSheetId="0">'Додаток 1'!$A$1:$F$42</definedName>
  </definedNames>
  <calcPr fullCalcOnLoad="1"/>
</workbook>
</file>

<file path=xl/comments7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<sst xmlns="http://schemas.openxmlformats.org/spreadsheetml/2006/main" count="1538" uniqueCount="779">
  <si>
    <t>Реконструкція існуючої системи водопостачання в с.Малинівка Гощанського району (в т.ч. проектно-кошторисна документація)</t>
  </si>
  <si>
    <t>Спортивний зал в м.Дубровиця, вул.Червоного Хреста, 25-будівництво  (виготовлення проектно-кошторисної документації)</t>
  </si>
  <si>
    <t>Реконструкція частини приміщення Дерманського НВК "Загальноосвітня школа І-ІІ ступенів-гімназія" під дитячий садок в с.Дермань Друга Здолбунівського району (в т.ч. виготовлення проектно-кошторисної документації)</t>
  </si>
  <si>
    <t>Реконструкція корпусу №2 Здолбунівського будинку-інтернату для громадян похилого віку та інвалідів в м.Здолбунів по вул. 8 Березня, 40 (в т.ч. виготовлення проектно-кошторисної документації)</t>
  </si>
  <si>
    <t>Реконструкція приміщення "Народної школи" під адміністративну будівлю сільської ради та музею по вул. Федорова в с.Дермань Друга Здолбунівського району (в т.ч. проектно-кошторисна документація)</t>
  </si>
  <si>
    <t>Добудова школи в с.Богданівка Корецького району-реконструкція  (в т.ч.коригування проектно-кошторисної документації)</t>
  </si>
  <si>
    <t>Реконструкція незавершеного будівництва загальноосвітньої школи І ступеня під навчально-виховний комплекс  "Дошкільний навчальний заклад-загальноосвітня школа І ступеня" в с. Калинівка Корецького району (в т.ч. коригування проектно-кошторисної документації)</t>
  </si>
  <si>
    <t>Реконструкція ЗОШ І-ІІ ступеня в с.Стовпин Корецького району (в т.ч. коригування проектно-кошторисної документації)</t>
  </si>
  <si>
    <t>Реконструкція даху школи в с.Хорупань Млинівського району (в т.ч. коригування проектно-кошторисної документації)</t>
  </si>
  <si>
    <t>Реконструкція даху школи в с.Привітне Млинівського району 9(в т.ч. коригування проектно-кошторисної документації)</t>
  </si>
  <si>
    <t>Будівництво НВК по вул.Шкільній,11 в с. Борбин Млинівського району (в т.ч. виготовлення проектно-кошторисної документації)</t>
  </si>
  <si>
    <t>Дитячий садок на 150 місць по вул. Центральній в смт.Оржів Рівненського району -будівництво (в т.ч. коригування проектно-кошторисної документації)</t>
  </si>
  <si>
    <t>Реконструкція будівлі комунального закладу "Дубенська центральна районна лікарня" по вул.Львівська, 73 в м.Дубно (в т.ч.виготовлення проектно-кошторисної документації)</t>
  </si>
  <si>
    <t>Інфекційний корпус центральної міської лікарні по вул.Мірющенка, 25 а в м.Рівне-реконструкція(в т.ч.виготовлення ПКД)</t>
  </si>
  <si>
    <t>Реконструкція дитячого садка на 3 групи в с.Великий Житин Рівненського району (за рахунок залишку коштів залишку коштів на 01.01.2013 іншої субвенції з районного бюджету  Рівненського району)</t>
  </si>
  <si>
    <t>Реконструкція системи водопостачання в с.Синів Гощанського району (в т.ч. проектно-кошторисна документація)</t>
  </si>
  <si>
    <t>Реконструкція приміщення Бабинської ЗОШ по вул.Незалежності,5 в с.Бабин Гощанського району(заміна вікон) (в т.ч.проектно-кошторисна документація)</t>
  </si>
  <si>
    <t>Будівництво котельні Ступнівського НВК "Загальноосвітня школа І-ІІ ступенів - ліцей" с.Ступно Здолбунівського району (в т.ч. виготовлення проектно-кошторисної документації)</t>
  </si>
  <si>
    <t>Реконструкція приміщення Тучинської ЗОШ в с.Тучин Гощанського району (заміна вікон) (в т.ч. проектно-кошторисна документація)</t>
  </si>
  <si>
    <t>Реконструкція існуючої водопровідної мережі військового містечка "Надія" Плосківської сільської ради Острозького району</t>
  </si>
  <si>
    <t>Реконструкція водопроводу в с.Вілія Острозького району</t>
  </si>
  <si>
    <t>Реконструкція водопроводу в с.Сіянці Острозького району</t>
  </si>
  <si>
    <t>Реконструкція приміщення Державного архіву області по вул.Кавказька, 8 в м.Рівне</t>
  </si>
  <si>
    <t>Інші освітні програми</t>
  </si>
  <si>
    <t xml:space="preserve">Всього </t>
  </si>
  <si>
    <t>Додаток 8</t>
  </si>
  <si>
    <t>Зміни до переліку державних та регіональних галузевих програм по обласному бюджету на 2013 рік</t>
  </si>
  <si>
    <t xml:space="preserve">Загальний фонд </t>
  </si>
  <si>
    <t xml:space="preserve">Спеціальний фонд </t>
  </si>
  <si>
    <t xml:space="preserve">Разом </t>
  </si>
  <si>
    <t>Код типової класифікації видатків та кредитування місцевих бюджетів</t>
  </si>
  <si>
    <t>Найменування програми</t>
  </si>
  <si>
    <t>сума</t>
  </si>
  <si>
    <t>Іншi видатки</t>
  </si>
  <si>
    <t>Підтримка національного книговидання</t>
  </si>
  <si>
    <t>Програма підтримки молоді в області на 2009-2015 роки, в тому числі</t>
  </si>
  <si>
    <t>Обласна програма забезпечення молоді житлом на 2003-2012 роки</t>
  </si>
  <si>
    <t>Обласна програма матеріальної підтримки найбільш незахищених верств населення на 2013-2017 роки</t>
  </si>
  <si>
    <t>Інші видатки</t>
  </si>
  <si>
    <t xml:space="preserve">Програма розвитку туризму в Рівненській області на 2011-2015 роки
 </t>
  </si>
  <si>
    <t>250903</t>
  </si>
  <si>
    <t xml:space="preserve">Надання бюджетних позичок суб'єктам підприємницької діяльності - </t>
  </si>
  <si>
    <t>Програма підтримки фермерських господарств області на 2011-2015 роки</t>
  </si>
  <si>
    <t>Обласна цільова програма індивідуального житлового будівництва у сільській місцевості "Власний дім" на 2010-2015 роки</t>
  </si>
  <si>
    <t>210105 </t>
  </si>
  <si>
    <t>Програма економічного та соціального розвитку Рівненської області на 2012 рік (проведення щорічного обласного конкурсу проектів розвитку територіальних громад області)</t>
  </si>
  <si>
    <t xml:space="preserve">   Перший заступник голови обласної ради                                                                                                                                                       </t>
  </si>
  <si>
    <t xml:space="preserve">  М.П.Кривко</t>
  </si>
  <si>
    <t xml:space="preserve">Додаток 9  </t>
  </si>
  <si>
    <t xml:space="preserve">до рішення Рівненської обласної ради  </t>
  </si>
  <si>
    <t>від 31 січня 2013 року № 847</t>
  </si>
  <si>
    <t>Перелік об"єктів капітального ремонту доріг, що фінансувалися за рахунок коштів субвенції з державного бюджету місцевим бюджетам на будівництво, реконструкцію, ремонт  та утримання вулиць і доріг комунальної власності у населених пунктах, по яких утворилася заборгованість за виконані роботи у 2012 році</t>
  </si>
  <si>
    <t>№ п/п</t>
  </si>
  <si>
    <t>№</t>
  </si>
  <si>
    <t>Назва об'єкта</t>
  </si>
  <si>
    <t>Сума кредиторської заборгованості станом на 01.01.2013</t>
  </si>
  <si>
    <t xml:space="preserve">                   Володимирецький район</t>
  </si>
  <si>
    <t xml:space="preserve">                Гощанський район</t>
  </si>
  <si>
    <r>
      <t xml:space="preserve">                 </t>
    </r>
    <r>
      <rPr>
        <b/>
        <sz val="12"/>
        <rFont val="Times New Roman"/>
        <family val="1"/>
      </rPr>
      <t>Демидівський район</t>
    </r>
  </si>
  <si>
    <r>
      <t xml:space="preserve">                  </t>
    </r>
    <r>
      <rPr>
        <b/>
        <sz val="12"/>
        <rFont val="Times New Roman"/>
        <family val="1"/>
      </rPr>
      <t>Дубенський район</t>
    </r>
  </si>
  <si>
    <r>
      <t xml:space="preserve">                 </t>
    </r>
    <r>
      <rPr>
        <b/>
        <sz val="12"/>
        <rFont val="Times New Roman"/>
        <family val="1"/>
      </rPr>
      <t>Дубровицький район</t>
    </r>
  </si>
  <si>
    <r>
      <t xml:space="preserve">                  </t>
    </r>
    <r>
      <rPr>
        <b/>
        <sz val="12"/>
        <rFont val="Times New Roman"/>
        <family val="1"/>
      </rPr>
      <t>Зарічненський район</t>
    </r>
  </si>
  <si>
    <r>
      <t xml:space="preserve">                  </t>
    </r>
    <r>
      <rPr>
        <b/>
        <sz val="12"/>
        <rFont val="Times New Roman"/>
        <family val="1"/>
      </rPr>
      <t>Здолбунівський район</t>
    </r>
  </si>
  <si>
    <r>
      <t xml:space="preserve">                  </t>
    </r>
    <r>
      <rPr>
        <b/>
        <sz val="12"/>
        <rFont val="Times New Roman"/>
        <family val="1"/>
      </rPr>
      <t>Корецький район</t>
    </r>
  </si>
  <si>
    <r>
      <t xml:space="preserve">                  </t>
    </r>
    <r>
      <rPr>
        <b/>
        <sz val="12"/>
        <rFont val="Times New Roman"/>
        <family val="1"/>
      </rPr>
      <t>Млинівський район</t>
    </r>
  </si>
  <si>
    <r>
      <t xml:space="preserve">                  </t>
    </r>
    <r>
      <rPr>
        <b/>
        <sz val="12"/>
        <rFont val="Times New Roman"/>
        <family val="1"/>
      </rPr>
      <t>Острозький район</t>
    </r>
  </si>
  <si>
    <r>
      <t xml:space="preserve">                    </t>
    </r>
    <r>
      <rPr>
        <b/>
        <sz val="12"/>
        <rFont val="Times New Roman"/>
        <family val="1"/>
      </rPr>
      <t>Радивилівський район</t>
    </r>
  </si>
  <si>
    <t xml:space="preserve">                        м.Рівне</t>
  </si>
  <si>
    <r>
      <t xml:space="preserve">                           </t>
    </r>
    <r>
      <rPr>
        <b/>
        <sz val="12"/>
        <rFont val="Times New Roman"/>
        <family val="1"/>
      </rPr>
      <t>Рівненський район</t>
    </r>
  </si>
  <si>
    <r>
      <t xml:space="preserve">                   </t>
    </r>
    <r>
      <rPr>
        <b/>
        <sz val="12"/>
        <rFont val="Times New Roman"/>
        <family val="1"/>
      </rPr>
      <t>Сарненський район</t>
    </r>
  </si>
  <si>
    <t>Капітальний ремонт вул. Київська, м.Березне</t>
  </si>
  <si>
    <t>Капітальний ремонт дороги  Маринин-Більчаки, с.Маринин Березнівського району</t>
  </si>
  <si>
    <t>Капітальний ремонт вул. Зірненська, с. Зірне Березнівського району</t>
  </si>
  <si>
    <t>Володимирецький район</t>
  </si>
  <si>
    <t>Капітальний ремонт дороги по              вул. Шкільна в смт Володимирець</t>
  </si>
  <si>
    <t>Капітальний ремонт дороги по вул.1 Травня в с.Берестівка Володимирецького району</t>
  </si>
  <si>
    <t>Капітальний ремонт дороги по                           вул. Будівельників в                                               смт Володимирець</t>
  </si>
  <si>
    <t>Капітальний ремонт дороги по вул.Садова та по вул.Кузнецова в с.Нетреба Володимирецького району</t>
  </si>
  <si>
    <t>Капітальний ремонт дороги по вул. Пушкіна в с.Бабин Гощанського району</t>
  </si>
  <si>
    <t>Капітальний ремонт дороги по вул. Радянська в с.Рясники Гощанського району</t>
  </si>
  <si>
    <t>Капітальний ремонт дороги по вул.Бармацькій в с.Красносілля Гощанського району</t>
  </si>
  <si>
    <t>Капітальний ремонт дороги по вул. Нижній в с.Садове Гощанського району</t>
  </si>
  <si>
    <t>Капітальний ремонт дороги по вул.Хутір Франівка в с.Симонів Гощанського району</t>
  </si>
  <si>
    <t>Капітальний ремонт дороги по вул. Зелена в с.Синів Гощанського району</t>
  </si>
  <si>
    <t>Капітальний ремонт дороги по вул. Л.Українки в с.Вовкошів Гощанського району</t>
  </si>
  <si>
    <t>Капітальний ремонт дороги по вул. Лісовій в с.Пустомити Гощанського району</t>
  </si>
  <si>
    <t>Капітальний ремонт дороги по вул. Чапаєва в с.Пашуки Гощанського району</t>
  </si>
  <si>
    <t>Капітальний ремонт вул. Радянська в с.Клинці Дубенського району</t>
  </si>
  <si>
    <t>Капітальний ремонт вул. Щорса в с. Травневе  Дубенського району</t>
  </si>
  <si>
    <t>Капітальний ремонт вул. Меліораторів в с. Бортниця Дубенського району</t>
  </si>
  <si>
    <t>Капітальний ремонт вул. Красна Гора в с. Олибів (під'їзд до кладовища) Дубенського району</t>
  </si>
  <si>
    <t>Капітальний ремонт автодороги від центральної районної лікарні                         м. Дубровиця до с. Червоне Дубровицького району</t>
  </si>
  <si>
    <t xml:space="preserve">Капітальний ремонт вул.Макарівська в м. Дубровиця </t>
  </si>
  <si>
    <t>Поточний ремонт дороги до церкви в              с. Грицьки Дубровицького району</t>
  </si>
  <si>
    <t xml:space="preserve">Капітальний ремонт вул.Шкільна в с.Орв"яниця  Дубровицького району </t>
  </si>
  <si>
    <t>Капітальний ремонт вул. Піщана в с. Дібрівськ Зарічненського району</t>
  </si>
  <si>
    <t>Капітальний ремонт вул. Набережна в с. Кухітська Воля Зарічненського району</t>
  </si>
  <si>
    <t xml:space="preserve">Капітальний ремонт вул. Грушевського  в  смт Зарічне </t>
  </si>
  <si>
    <t>Капітальний ремонт дорожнього покриття ділянки вул. Пирогова в м.Здолбунів</t>
  </si>
  <si>
    <t>Капітальний ремонт дорожнього покриття на вул. Ватутіна в м.Здолбунів</t>
  </si>
  <si>
    <t>Капітальний ремонт дорожнього покриття вул. Квасилівська в с.Ільпінь Здолбунівського району</t>
  </si>
  <si>
    <t>Капітальний ремонт покриття дороги по вул.Незалежності від будинку №23 до будинку №7 в с.Новий Корець Корецького району</t>
  </si>
  <si>
    <t>Капітальний ремонт вул. Терешкової в м. Костопіль</t>
  </si>
  <si>
    <t>Капітальний ремонт вул. Заріччя в м. Костопіль</t>
  </si>
  <si>
    <t>Капітальний ремонт вул. Винниченка від вул.Заріччя до пішохідного моста в м. Костопіль</t>
  </si>
  <si>
    <t>Капітальний ремонт вул. Гагаріна в  с. Деражне Костопільського району</t>
  </si>
  <si>
    <t>Капітальний ремонт вул. Шевченка в с. Борщівка Костопільського району</t>
  </si>
  <si>
    <t>Капітальний ремонт вул. Колгоспна в  с. Постійне Костопільського району</t>
  </si>
  <si>
    <t>Капітальний ремонт вул.Народна, смт.Млинів</t>
  </si>
  <si>
    <t>Капітальний ремонт вул.Лісова, с.Топілля Млинівського району</t>
  </si>
  <si>
    <t>Капітальний ремонт вул. Гагаріна в с. Бронники Рівненського району</t>
  </si>
  <si>
    <t>Капітальний ремонт вул. Чеська в с. Велика Омеляна Рівненського району</t>
  </si>
  <si>
    <t>Капітальний ремонт вул. Л.Українки в с. Верхівськ Рівненського району</t>
  </si>
  <si>
    <t>Капітальний ремонт вул. Шевченка  в с. Грушвиця Друга Рівненського району</t>
  </si>
  <si>
    <t>Капітальний ремонт вул. Хмільова в с. Дядьковичі Рівненського району</t>
  </si>
  <si>
    <t>Капітальний ремонт вул. Кругівська  в с. Жобрин Рівненського району</t>
  </si>
  <si>
    <t>Капітальний ремонт вул. Шкільна в с. Жобрин Рівненського району</t>
  </si>
  <si>
    <t>Капітальний ремонт вул. Шкільна в с. Малий Шпаків Рівненського району</t>
  </si>
  <si>
    <t>Капітальний ремонт вул. Є.Мороза в с. Радухівка Рівненського району</t>
  </si>
  <si>
    <t>Капітальний ремонт вул. Польова в  с. Ходоси Рівненського району</t>
  </si>
  <si>
    <t>Капітальний ремонт дороги по вул. Шевченка та вул.Червоноармійська в смт Рокитне</t>
  </si>
  <si>
    <t>Капітальний ремонт дороги по вул. Білоруська та вул.Пролетарська в с. Березове Рокитнівського району</t>
  </si>
  <si>
    <t>Капітальний ремонт дороги по вул. Ювілейна в с. Кам’яне Рокитнівського району</t>
  </si>
  <si>
    <t>Капітальний ремонт дороги по вул. Л.Гавро в с. Рокитне Рокитнівського району</t>
  </si>
  <si>
    <t>Капітальний ремонт дороги по  вул. 40-річчя Перемоги в с. Масевичі Рокитнівського району</t>
  </si>
  <si>
    <t>Капітальний ремонт дороги по вул. Набережна в с. Нетреба Рокитнівського району</t>
  </si>
  <si>
    <t>Капітальний ремонт дороги по вул. Партизанська в с. Дубно Рокитнівського району</t>
  </si>
  <si>
    <t>Капітальний ремонт дороги по вул. Кузнецова та вул.Пархоменка в с. Томашгород Рокитнівського району</t>
  </si>
  <si>
    <t>Капітальний ремонт дороги по вул. Дворищанська в с. Переходичі Рокитнівського району</t>
  </si>
  <si>
    <t>Капітальний ремонт дороги по вул. Покровська та по вул.Л.Українки в смт Томашгород Рокитнівського району</t>
  </si>
  <si>
    <t>Капітальний ремонт дороги по  вул. О.Кичана в с. Зносичі Сарненського району</t>
  </si>
  <si>
    <t>Капітальний ремонт дороги по вул. Радгоспна, с. Чабель Сарненського району</t>
  </si>
  <si>
    <t>Капітальний ремонт дороги по вул. Шкільна, с. Карасин Сарненського району</t>
  </si>
  <si>
    <t>Капітальний ремонт дороги по  вул. Кооперативна, с. Стрільськ Сарненського району</t>
  </si>
  <si>
    <t>Капітальний ремонт дороги по вул. Чорновола, смт Степань Сарненського району</t>
  </si>
  <si>
    <t xml:space="preserve">м.Острог </t>
  </si>
  <si>
    <t>Капітальний ремонт дороги по вул. Вереснева в м. Острог</t>
  </si>
  <si>
    <t>м.Дубно</t>
  </si>
  <si>
    <t>Капітальний ремонт вул. Львівська в м. Дубно</t>
  </si>
  <si>
    <t>м.Кузнецовськ</t>
  </si>
  <si>
    <t>Капітальний ремонт асфальтобетонного покриття вулиці Теплична в м. Кузнецовськ</t>
  </si>
  <si>
    <t>Капітальний ремонт ділянки автомобільної дороги вул. Соборної в м. Рівне</t>
  </si>
  <si>
    <t>Капітальний ремонт автомобільної дороги вул. Мельника  в м. Рівне</t>
  </si>
  <si>
    <t xml:space="preserve">Додаток 10  </t>
  </si>
  <si>
    <t>Перелік об"єктів будівництва, реконструкції, ремонту та утримання автомобільних доріг області за рахунок коштів спеціального фонду обласного бюджету, по яких утворилася заборгованість за виконані роботи у 2012 році</t>
  </si>
  <si>
    <t>КЕКВ</t>
  </si>
  <si>
    <t>Капітальний ремонт вул. Л. Українки, с. Губків Березнівського району</t>
  </si>
  <si>
    <t>Поточний ремонт вул.Хутір Рудня в с.Поліське Березнівського району</t>
  </si>
  <si>
    <t>Поточний ремонт дороги по вул.Гагаріна в с.Половлі(дорога до кладовища)  Володимирецького району</t>
  </si>
  <si>
    <t>Капітальний ремонт дороги по вул. Мирна в с. Томахів Гощанського району</t>
  </si>
  <si>
    <t>Поточний ремонт вул. Набережної в с. Подоляни Гощанського району</t>
  </si>
  <si>
    <t>Поточний ремонт вул. Миру в с. Мнишин Гощанського району</t>
  </si>
  <si>
    <t xml:space="preserve">Поточний ремонт дороги с. Подоляни- с. Дорогобуж  Гощанського району </t>
  </si>
  <si>
    <t>Поточний ремонт вул. Матросова в с. Мнишин Гощанського району</t>
  </si>
  <si>
    <t>Поточний ремонт вул. 40-річчя Перемоги в с. Мнишин Гощанського району</t>
  </si>
  <si>
    <t>Поточний ремонт вул. Садова в с. Бабин Гощанського району</t>
  </si>
  <si>
    <t>Капітальний ремонт дороги по вул. Чапаєва в с. Пашуки Гощанського району</t>
  </si>
  <si>
    <t>Капітальний ремонт а/д по вул. Б.Хмельницького смт Демидівка</t>
  </si>
  <si>
    <t xml:space="preserve">Поточний ремонт вул. Кондратюка  в с. Комарівка Дубенського району                                   </t>
  </si>
  <si>
    <t>Капітальний ремонт дорожнього покриття по вул. Центральна в смт Зарічне</t>
  </si>
  <si>
    <t>Поточний ремонт вул. Залужжя в с. Дермань Друга Здолбунівського району</t>
  </si>
  <si>
    <t>Поточний ремонт вул.Б.Хмельницького в с.Дермань Друга Здолбунівського району</t>
  </si>
  <si>
    <t>Капітальний ремонт вул.Церковна в с.Великі Межирічі Корецького району</t>
  </si>
  <si>
    <t>Капітальний ремонт вул.Острізька в м.Костопіль</t>
  </si>
  <si>
    <t>Поточний ремонт вул. Радянська, с. Довгошиї Млинівського району</t>
  </si>
  <si>
    <t xml:space="preserve">Поточний ремонт асфальтного покриття  вул. Молодіжна в с. Межиріч Острозького району </t>
  </si>
  <si>
    <t xml:space="preserve">Поточний ремонт асфальтного покриття  вул. Заводська в с. Могиляни Острозького району </t>
  </si>
  <si>
    <t>Поточний ремонт асфальтного покриття вул. Б. Хмельницького в с. Тесів Острозького району</t>
  </si>
  <si>
    <t>Поточний ремонт асфальтного покриття вул. Шкільна в с. Оженин Острозького району</t>
  </si>
  <si>
    <t>Капітальний ремонт вул. Березина в с. Бугаївка Радивилівського району</t>
  </si>
  <si>
    <t xml:space="preserve">Капітальний ремонт вул. Довбуша в м. Радивилів </t>
  </si>
  <si>
    <t xml:space="preserve">Поточний ремонт вул. Й.Петлюка в с. Немирівка Радивилівського району  </t>
  </si>
  <si>
    <t>Поточний ремонт дороги по вул.Тішакова в смт Оржів Рівненського району</t>
  </si>
  <si>
    <t>Поточний ремонт дороги по вул. Миру в с. Рогачів ( до школи) Рівненського району</t>
  </si>
  <si>
    <t>Поточний ремонт дороги по вул. Габрилівська в с. Велика Омеляна Рівненського району</t>
  </si>
  <si>
    <t>Поточний ремонт дороги по вул.  Колгоспна в с. Забороль Рівненського району</t>
  </si>
  <si>
    <t>Поточний ремонт дороги  по вул. Набережна в с. Загороща Рівненського району</t>
  </si>
  <si>
    <t>Капітальний  ремонт дороги по вул. Лісова в с. Нова Українка Рівненського району</t>
  </si>
  <si>
    <t>Капітальний ремонт дороги по вул. 1 - го Травня в с. Остки Рокитнівського району</t>
  </si>
  <si>
    <t>Капітальний ремонт дороги по вул.Тарасенка в с.Купель Рокитнівського району</t>
  </si>
  <si>
    <t>Капітальний ремонт дороги по вул. Перемоги, с. Вирка Сарненського району</t>
  </si>
  <si>
    <t>Поточний ремонт дороги по вул. Центральній в смт Клесів Сарненського району</t>
  </si>
  <si>
    <t>Поточний ремонт дороги по вул. Короленка в м. Сарни</t>
  </si>
  <si>
    <t>Поточний ремонт доріг та тротуарів (біля ж.б.№ № 4, 7, 11 - 12 м-н Перемоги; №16 - 19,№ 16 - 17, №42 м-н Вараш; магазин "Колібріс", "Світ взуття", алея "Афган",№ 20 м-н Будівельників) в м. Кузнецовськ</t>
  </si>
  <si>
    <t>Поточний ремонт доріг № 5, № 5а в м. Кузнецовськ</t>
  </si>
  <si>
    <t>Капітальний ремонт бульвару Хмельницького (від вул. Грушевського до вул. Виговського лівосторонній проїзд) в м. Рівне</t>
  </si>
  <si>
    <t>Капітальний ремонт вул. Куліша в м. Рівне</t>
  </si>
  <si>
    <t>Капітальний ремонт вул.Фабрична з проїздами та пішохідними зонами в м.Рівне</t>
  </si>
  <si>
    <t>Поточний ремонт вул.Соборної в м.Рівне</t>
  </si>
  <si>
    <t>Поточний ремонт вул.Гребінки в м.Рівне</t>
  </si>
  <si>
    <t>Поточний ремонт вул.Поліщука в м.Рівне</t>
  </si>
  <si>
    <t>Поточний ремонт вул.Курчатова в м.Рівне</t>
  </si>
  <si>
    <t>Поточний ремонт вул.Бульби-Боровця в м.Рівне</t>
  </si>
  <si>
    <t>Всього:</t>
  </si>
  <si>
    <t>поточні видатки</t>
  </si>
  <si>
    <t>капітальні видатки</t>
  </si>
  <si>
    <t>вик.Г.Сирота</t>
  </si>
  <si>
    <t xml:space="preserve"> тел.26-59-72</t>
  </si>
  <si>
    <t xml:space="preserve">Додаток 11  </t>
  </si>
  <si>
    <t xml:space="preserve">Перелік природоохоронних заходів,по яких утворилася заборгованість у 2012 році.                             </t>
  </si>
  <si>
    <t>240601 Охорона та раціональне використання природних ресурсів</t>
  </si>
  <si>
    <t xml:space="preserve">Будівництво КНС і напірного каналізаційного колектора для відведення комунально-побутових стоків з житлового сектору району"Цукрового заводу" в м.Корець </t>
  </si>
  <si>
    <t>Будівництво каналізаційного колектора від багатоквартирних будинків в с.Новий Корець по вул.Садовій та Молодіжній (Корецький район, Рівненська область)</t>
  </si>
  <si>
    <t>Водовідведення каналізаційних стоків с.Могиляни по вул.Заводській Острозького району (будівництво)</t>
  </si>
  <si>
    <t xml:space="preserve">Реконструкція ділянки каналізаційного колектора в районі перетину вул.Кн.Володимира-Р.Шухевича-Литовська в м.Рівне </t>
  </si>
  <si>
    <t>Придбання технологічного обладнання для заміни такого, що використало свої технічні можливості на комунальних каналізаційних системах м.Острог</t>
  </si>
  <si>
    <t>Очисні споруди потужністю 10м3/ добу комунального закладу"Острожецька протитуберкульозна лікарня" в с.Острожець Млинівського району-будівництво (виготовлення проектно-кошторисної документації)</t>
  </si>
  <si>
    <t>Виготовлення проектно-кошторисної документації на будівництво самопливного колектора по вул.Шкільна,І.Франка,каналізаційної насосної станції і напірного колектора через р.Горинь в с.Горбаків Гощанського району</t>
  </si>
  <si>
    <t>Виготовлення проектно-кошторисної документації на реконструкцію споруди гідровузла та шлюзів греблі Хрінницького водосховища</t>
  </si>
  <si>
    <t>240603 Ліквідація іншого забруднення навколишнього природного середовища</t>
  </si>
  <si>
    <t>Виготовлення проектно-кошторисної документації "Виконання заходів щодо відновлення і підтримання сприятливого гідрологічного режиму та санітарного стану р.Вирка, а також заходів для боротьби зі шкідливою дією вод на території Городецької сільської ради Володимирецького району (будівництво)</t>
  </si>
  <si>
    <t>Розчищення русла р.Устя та реконструкція захисних дамб і насосної станції на польдерній системі "Івачків" Миротинської сільської ради Здолбунівського району</t>
  </si>
  <si>
    <t>240604 Інша діяльність у сфері охорони навколишнього природного середовища</t>
  </si>
  <si>
    <t>Виконання заходів з підготовки і організації встановлення меж та розроблення та розроблення проектів землеустрою територій та об"єктів природно-заповідного фонду Рівненської області</t>
  </si>
  <si>
    <t>Видання книжки "Довкілля Рівненщини за 2011 рік"</t>
  </si>
  <si>
    <t>О.П.Чуприна</t>
  </si>
  <si>
    <t>Додаток 3.1</t>
  </si>
  <si>
    <t>Код програмної класифікації видатків та кредитування місцевих бюджетів (КПКВК)</t>
  </si>
  <si>
    <t>Код тимчасової класифікації видатків та кредитування місцевих бюджетів  (КТКВК)</t>
  </si>
  <si>
    <t>Найменування коду програмної класифікації видатків та кредитування місцевих бюджетів</t>
  </si>
  <si>
    <t>1</t>
  </si>
  <si>
    <t>2</t>
  </si>
  <si>
    <t>14=4+7</t>
  </si>
  <si>
    <t>0100000</t>
  </si>
  <si>
    <t>0110000</t>
  </si>
  <si>
    <t>0118600</t>
  </si>
  <si>
    <t>0300000</t>
  </si>
  <si>
    <t>0310000</t>
  </si>
  <si>
    <t>0318600</t>
  </si>
  <si>
    <t>0800000</t>
  </si>
  <si>
    <t>0810000</t>
  </si>
  <si>
    <t>0817210</t>
  </si>
  <si>
    <t>Підтримка засобів масової інформації</t>
  </si>
  <si>
    <t>0817213</t>
  </si>
  <si>
    <t>Підтримка книговидання</t>
  </si>
  <si>
    <t>0818600</t>
  </si>
  <si>
    <t>0900000</t>
  </si>
  <si>
    <t>0910000</t>
  </si>
  <si>
    <t>0917501</t>
  </si>
  <si>
    <t>Інші заходи, пов'язані з розвитком міжнародного співробітництва та міжрегіональної співпраці</t>
  </si>
  <si>
    <t>1000000</t>
  </si>
  <si>
    <t>1011040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</si>
  <si>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</si>
  <si>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1011050</t>
  </si>
  <si>
    <t>Надання загальної середньої освіти загальноосвітніми школами-інтернатами для дітей-сиріт та дітей, позбавлених батьківського піклування</t>
  </si>
  <si>
    <t>1011060</t>
  </si>
  <si>
    <t>Надання освіти в дитячих будинках, утримання та забезпечення їх діяльності</t>
  </si>
  <si>
    <t>1011080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</si>
  <si>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</t>
  </si>
  <si>
    <t>1011090</t>
  </si>
  <si>
    <t>Надання загальної середньої освіти 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</si>
  <si>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1011100</t>
  </si>
  <si>
    <t>Надання позашкільної освіти позашкільними закладами освіти, заходи із позашкільної роботи з дітьми</t>
  </si>
  <si>
    <t>1011110</t>
  </si>
  <si>
    <t xml:space="preserve">Підготовка робітничих кадрів закладами професійно-технічної освіти </t>
  </si>
  <si>
    <t>1011140</t>
  </si>
  <si>
    <t xml:space="preserve"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 </t>
  </si>
  <si>
    <t>1011170</t>
  </si>
  <si>
    <t>Методичне забезпечення діяльності навчальних закладів та інші заходи в галузі освіти</t>
  </si>
  <si>
    <t>1011190</t>
  </si>
  <si>
    <t xml:space="preserve">Централізоване ведення бухгалтерського обліку </t>
  </si>
  <si>
    <t>1011200</t>
  </si>
  <si>
    <t xml:space="preserve">Здійснення  централізованого господарського обслуговування </t>
  </si>
  <si>
    <t>1011800</t>
  </si>
  <si>
    <t>1015010</t>
  </si>
  <si>
    <t>Проведення спортивної роботи в регіоні</t>
  </si>
  <si>
    <t>1015011</t>
  </si>
  <si>
    <t>Проведення навчально-тренувальних зборів і змагань з олімпійських видів спорту</t>
  </si>
  <si>
    <t>1015020</t>
  </si>
  <si>
    <t>Діяльність закладів фізичної культури і спорту  </t>
  </si>
  <si>
    <t>1015022</t>
  </si>
  <si>
    <t>Утримання та навчально-тренувальна робота комунальних дитячо-юнацьких спортивних шкіл</t>
  </si>
  <si>
    <t>1113110</t>
  </si>
  <si>
    <t>Заклади і заходи з питань дітей та їх соціального захисту</t>
  </si>
  <si>
    <t>1113111</t>
  </si>
  <si>
    <t>Утримання закладів, що надають соціальні послуги дітям, які опинились у складних життєвих обставинах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</si>
  <si>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</si>
  <si>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</si>
  <si>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</si>
  <si>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сім'ї, дітей та молоді</t>
  </si>
  <si>
    <t>1113132</t>
  </si>
  <si>
    <t>Програми і заходи центрів соціальних служб для сім'ї, дітей та молоді</t>
  </si>
  <si>
    <t>1113500</t>
  </si>
  <si>
    <t>1113501</t>
  </si>
  <si>
    <t xml:space="preserve">Утримання центру соціально-психологічної допомоги </t>
  </si>
  <si>
    <t>Утримання та  заходи центру організації оздоровлення та формування здорового способу життя дітей та молоді</t>
  </si>
  <si>
    <t>1315020</t>
  </si>
  <si>
    <t>1315021</t>
  </si>
  <si>
    <t>Забезпечення підготовки спортсменів вищих категорій школами вищої спортивної майстерності</t>
  </si>
  <si>
    <t>1315040</t>
  </si>
  <si>
    <t>Здійснення фізкультурно-спортивної та реабілітаційної роботи серед інвалідів</t>
  </si>
  <si>
    <t>1315041</t>
  </si>
  <si>
    <t>Утримання центрів з інвалідного спорту і реабілітаційних шкіл</t>
  </si>
  <si>
    <t>1315042</t>
  </si>
  <si>
    <t>Проведення навчально-тренувальних зборів і змагань та заходів з інвалідного спорту</t>
  </si>
  <si>
    <t>1315060</t>
  </si>
  <si>
    <t>Утримання центрів «Спорт для всіх» та проведення заходів з фізичної культури</t>
  </si>
  <si>
    <t>1411120</t>
  </si>
  <si>
    <t xml:space="preserve">Підготовка кадрів вищими навчальними закладами І і ІІ рівнів акредитації </t>
  </si>
  <si>
    <t>1411140</t>
  </si>
  <si>
    <t>1411150</t>
  </si>
  <si>
    <t xml:space="preserve">Підвищення кваліфікації, перепідготовка кадрів іншими закладами післядипломної освіти </t>
  </si>
  <si>
    <t>1412010</t>
  </si>
  <si>
    <t xml:space="preserve">Багатопрофільна стаціонарна медична допомога населенню </t>
  </si>
  <si>
    <t>1412030</t>
  </si>
  <si>
    <t xml:space="preserve">Спеціалізована стаціонарна медична допомога населенню </t>
  </si>
  <si>
    <t>1412060</t>
  </si>
  <si>
    <t xml:space="preserve">Санаторне лікування хворих на туберкульоз </t>
  </si>
  <si>
    <t>1412070</t>
  </si>
  <si>
    <t xml:space="preserve">Санаторне лікування дітей та підлітків із соматичними захворюваннями (крім туберкульозу) </t>
  </si>
  <si>
    <t>1412090</t>
  </si>
  <si>
    <t xml:space="preserve">Медико-соціальний захист дітей-сиріт та дітей, позбавлених батьківського піклування </t>
  </si>
  <si>
    <t>1412100</t>
  </si>
  <si>
    <t xml:space="preserve">Створення банків крові та її компонентів </t>
  </si>
  <si>
    <t>1412130</t>
  </si>
  <si>
    <t xml:space="preserve">Спеціалізована амбулаторно-поліклінічна допомога населенню </t>
  </si>
  <si>
    <t>1412170</t>
  </si>
  <si>
    <t xml:space="preserve">Інформаційно-методичне та просвітницьке забезпечення в галузі охорони здоров'я </t>
  </si>
  <si>
    <t>1412190</t>
  </si>
  <si>
    <t xml:space="preserve">Проведення належної медико-соціальної експертизи (МСЕК) </t>
  </si>
  <si>
    <t>1412800</t>
  </si>
  <si>
    <t>комунальний заклад "Обласний центр екстренної медичної допомоги та медицини катастроф" Рівненської обласної ради</t>
  </si>
  <si>
    <t>зубопротезування і придбання слухових апаратів</t>
  </si>
  <si>
    <t>Програма забезпечення лікувально-профілактичних закладів Рівненської області імплантатами та інструментарієм для надання медичної допомоги хворим з ураженням органів опори та руху на 2011-2015 роки</t>
  </si>
  <si>
    <t>за рахунок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</si>
  <si>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за рахунок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</si>
  <si>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за рахунок субвенції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</si>
  <si>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1412200</t>
  </si>
  <si>
    <t>1414060</t>
  </si>
  <si>
    <t>1417810</t>
  </si>
  <si>
    <t>Видатки на запобігання та ліквідацію надзвичайних ситуацій та наслідків стихійного лиха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</si>
  <si>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</si>
  <si>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</si>
  <si>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1513101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</si>
  <si>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</si>
  <si>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</si>
  <si>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</si>
  <si>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1513105</t>
  </si>
  <si>
    <t>Надання реабілітаційних послуг інвалідам та дітям-інвалідам</t>
  </si>
  <si>
    <t>1513220</t>
  </si>
  <si>
    <t>Забезпечення обробки інформації з нарахування та виплати допомог і компенсацій</t>
  </si>
  <si>
    <t>1513300</t>
  </si>
  <si>
    <t>2013111</t>
  </si>
  <si>
    <t>2414800</t>
  </si>
  <si>
    <t>2418600</t>
  </si>
  <si>
    <t>Реалізація заходів щодо інвестиційного розвитку територій</t>
  </si>
  <si>
    <t>4716650</t>
  </si>
  <si>
    <t>Утримання та розвиток інфраструктури доріг</t>
  </si>
  <si>
    <t>4719110</t>
  </si>
  <si>
    <t>5317612</t>
  </si>
  <si>
    <t>6717810</t>
  </si>
  <si>
    <t>7317440</t>
  </si>
  <si>
    <t>Сприяння розвитку малого та середнього  підприємництва</t>
  </si>
  <si>
    <t>7317500</t>
  </si>
  <si>
    <t>7319140</t>
  </si>
  <si>
    <t>7319150</t>
  </si>
  <si>
    <t>240605</t>
  </si>
  <si>
    <t>Збереження природно-заповідного фонду</t>
  </si>
  <si>
    <t>4718470</t>
  </si>
  <si>
    <t>250362</t>
  </si>
  <si>
    <t>4718800</t>
  </si>
  <si>
    <t>7618800</t>
  </si>
  <si>
    <t>грн.</t>
  </si>
  <si>
    <t>Код</t>
  </si>
  <si>
    <t>Найменування доходів згідно із бюджетною                класифікацією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</si>
  <si>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</si>
  <si>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</si>
  <si>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</si>
  <si>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</si>
  <si>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</si>
  <si>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</si>
  <si>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</si>
  <si>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</si>
  <si>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</si>
  <si>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Офіційні трансферти</t>
  </si>
  <si>
    <t>М.П.Кривко</t>
  </si>
  <si>
    <t>Додаток 1</t>
  </si>
  <si>
    <t xml:space="preserve">до рішення Рівненської обласної ради </t>
  </si>
  <si>
    <t>Інші субвенції</t>
  </si>
  <si>
    <t>41035000 </t>
  </si>
  <si>
    <t>в т.ч.</t>
  </si>
  <si>
    <t>Березнівського району</t>
  </si>
  <si>
    <t xml:space="preserve">Володимирецького району </t>
  </si>
  <si>
    <t>Гощанського району</t>
  </si>
  <si>
    <t>Демидівського району</t>
  </si>
  <si>
    <t>Дубенського району</t>
  </si>
  <si>
    <t>Дубровицького району</t>
  </si>
  <si>
    <t>Зарічненського району</t>
  </si>
  <si>
    <t>Здолбунівського району</t>
  </si>
  <si>
    <t>Корецького району</t>
  </si>
  <si>
    <t>Костопільського району</t>
  </si>
  <si>
    <t>Млинівського району</t>
  </si>
  <si>
    <t>Радивилівського району</t>
  </si>
  <si>
    <t>Рівненського району</t>
  </si>
  <si>
    <t>Рокитнівського району</t>
  </si>
  <si>
    <t>Сарненського району</t>
  </si>
  <si>
    <t>м. Дубно</t>
  </si>
  <si>
    <t>м.Рівне</t>
  </si>
  <si>
    <t>з районних і міських бюджетів обласному бюджету на обслуговування осіб з обмеженими фізичними можливостями в обласному центрі професійної реабілітації інвалідів</t>
  </si>
  <si>
    <t>41035200 </t>
  </si>
  <si>
    <t>Субвенція на проведення видатків місцевих бюджетів, що враховуються при визначенні обсягу міжбюджетних трансфертів </t>
  </si>
  <si>
    <t>м.Острог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</si>
  <si>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</si>
  <si>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</si>
  <si>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 xml:space="preserve">з районного бюджету Рокитнівського району </t>
  </si>
  <si>
    <t>Зміни до доходів обласного бюджету на 2013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</si>
  <si>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</si>
  <si>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міського бюджету м.Острог</t>
  </si>
  <si>
    <t>міського бюджету м.Дубно</t>
  </si>
  <si>
    <t>з міського бюджету м.Дубно на каналізаційні очисні споруди, канлізаційну мережу, напірний колектор в м.Дубно - реконструкція</t>
  </si>
  <si>
    <t>з районного бюджету Острозького району на обслуговування осіб з обмеженими фізичними можливостями в обласному центрі професійної реабілітації інвалідів</t>
  </si>
  <si>
    <t xml:space="preserve">від 31 січня 2013 року № 847 </t>
  </si>
  <si>
    <t>Додаток 2</t>
  </si>
  <si>
    <t>до рішення Рівненської обласної  ради</t>
  </si>
  <si>
    <t>від ____________ 2013 року № ______</t>
  </si>
  <si>
    <t xml:space="preserve">Зміни до видатків обласного  бюджету  на  2013 рік </t>
  </si>
  <si>
    <t xml:space="preserve"> 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</si>
  <si>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</si>
  <si>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</si>
  <si>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</si>
  <si>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</si>
  <si>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</si>
  <si>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РАЗОМ</t>
  </si>
  <si>
    <t>Всього</t>
  </si>
  <si>
    <t>з них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</si>
  <si>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</si>
  <si>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</si>
  <si>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</si>
  <si>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</si>
  <si>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</si>
  <si>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</si>
  <si>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</si>
  <si>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070000</t>
  </si>
  <si>
    <t>Освiта</t>
  </si>
  <si>
    <t>070301</t>
  </si>
  <si>
    <t>Загальноосвітні школи-інтернати, загальноосвітні санаторні школи-інтернати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</si>
  <si>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</si>
  <si>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</si>
  <si>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</si>
  <si>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т.ч. сімейного типу, прийомні сім'ї)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</si>
  <si>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</si>
  <si>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</si>
  <si>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</si>
  <si>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</si>
  <si>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</si>
  <si>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</si>
  <si>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070501</t>
  </si>
  <si>
    <t>Професійно-технічні заклади освіти </t>
  </si>
  <si>
    <t>070601</t>
  </si>
  <si>
    <t>Вищі навчальні заклади І та ІІ рівнів акредитації</t>
  </si>
  <si>
    <t>070701</t>
  </si>
  <si>
    <t>Заклади післядипломної освіти III-IV рівнів акредитації</t>
  </si>
  <si>
    <t>070702</t>
  </si>
  <si>
    <t>Інші заклади і заходи післядипломної освіти (обласні курси підвищення кваліфікації середніх медпрацівників)</t>
  </si>
  <si>
    <t>070802</t>
  </si>
  <si>
    <t>Методична робота, iншi заходи у сфері народної освiти, в т.ч.:</t>
  </si>
  <si>
    <t>учнівські олімпіади, турніри, конкурси</t>
  </si>
  <si>
    <t>070804</t>
  </si>
  <si>
    <t xml:space="preserve">Централізовані бухгалтерії обласних, міських, районних відділів освіти 
</t>
  </si>
  <si>
    <t>070805</t>
  </si>
  <si>
    <t>Групи централізованого господарського обслуговування</t>
  </si>
  <si>
    <t>070807</t>
  </si>
  <si>
    <t>Інші освітні програми, в т.ч.:</t>
  </si>
  <si>
    <t>Обласна цільова соціальна програма розвитку позашкільної освіти на період до 2014 року</t>
  </si>
  <si>
    <t>080000</t>
  </si>
  <si>
    <t>Охорона здоров'я</t>
  </si>
  <si>
    <t>080101</t>
  </si>
  <si>
    <t>Лікарні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</si>
  <si>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</si>
  <si>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</si>
  <si>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</si>
  <si>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</si>
  <si>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</si>
  <si>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</si>
  <si>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080207</t>
  </si>
  <si>
    <t>Будинки дитини</t>
  </si>
  <si>
    <t>080208</t>
  </si>
  <si>
    <t>Станції переливання крові</t>
  </si>
  <si>
    <t>080400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</si>
  <si>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 </t>
  </si>
  <si>
    <t>080704</t>
  </si>
  <si>
    <t>Центри здоров‘я і заходи у сфері санітарної освіти</t>
  </si>
  <si>
    <t>081001</t>
  </si>
  <si>
    <t>Медико-соціальні експертні комісії</t>
  </si>
  <si>
    <t>081002</t>
  </si>
  <si>
    <t>Інші заходи по охороні здоров'я</t>
  </si>
  <si>
    <t>комунальний заклад "Обласне бюро судово-медичної експертизи" Рівненської обласної ради</t>
  </si>
  <si>
    <t>спеціалізований відділ АСУ Національного реєстру</t>
  </si>
  <si>
    <t>Рівненський обласний інформаційно-аналітичний центр медичної статистики</t>
  </si>
  <si>
    <t xml:space="preserve">обласна база спеціального медичного постачання </t>
  </si>
  <si>
    <t>комунальний заклад "Обласний центр  профілактики та боротьби зі СНІДом" Рівненської обласної ради</t>
  </si>
  <si>
    <t>081003</t>
  </si>
  <si>
    <t>Служба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</si>
  <si>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</si>
  <si>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Соцiальний захист та соцiальне забезпечення</t>
  </si>
  <si>
    <t>090601</t>
  </si>
  <si>
    <t>Будинки- інтернати для малолітніх інвалідів</t>
  </si>
  <si>
    <t>090700</t>
  </si>
  <si>
    <t>Утримання закладів, що надають соціальні послуги дітям, які опинились в складних життєвих обставинах </t>
  </si>
  <si>
    <t>090901</t>
  </si>
  <si>
    <t>Будинки-iнтернати (пансіонати) для літніх людей та iнвалiдiв системи соцiального захисту</t>
  </si>
  <si>
    <t>091101</t>
  </si>
  <si>
    <t>Утримання центрiв соцiальних служб для сім'ї, дітей та молодi</t>
  </si>
  <si>
    <t>091102</t>
  </si>
  <si>
    <t>Програми i заходи центрiв соцiальних служб для сім'ї, дітей та молодi</t>
  </si>
  <si>
    <t>Програма підтримки молоді в області на 2009-2015 роки</t>
  </si>
  <si>
    <t>Обласна програма забезпечення профілактики ВІЛ-інфекцій, лікування, догляду та підтримки ВІЛ-інфікованих і хворих на СНІД на 2009-2013 роки</t>
  </si>
  <si>
    <t>091106</t>
  </si>
  <si>
    <t>Iншi видатки</t>
  </si>
  <si>
    <t>КЗ Рівненський центр соціально-психологічної допомоги Рівненської обласної ради</t>
  </si>
  <si>
    <t>Рівненський обласний центр організації оздоровлення та формування здорового способу життя дітей та молоді Рівненської обласної ради, з них</t>
  </si>
  <si>
    <t>091206 </t>
  </si>
  <si>
    <t>Центри соціальної реабілітації дітей - інвалідів; центри професійної реабілітації інвалідів </t>
  </si>
  <si>
    <t>091212</t>
  </si>
  <si>
    <t>Обробка інформації з нарахування та виплати допомог і компенсацій</t>
  </si>
  <si>
    <t>091214</t>
  </si>
  <si>
    <t xml:space="preserve">Інші установи та заклади </t>
  </si>
  <si>
    <t>Культура i мистецтво</t>
  </si>
  <si>
    <t>110102</t>
  </si>
  <si>
    <t>Театри</t>
  </si>
  <si>
    <t>110201</t>
  </si>
  <si>
    <t>Бiблiотеки</t>
  </si>
  <si>
    <t>110202</t>
  </si>
  <si>
    <t>Музеї i виставки</t>
  </si>
  <si>
    <t>110203</t>
  </si>
  <si>
    <t>Заповiдники</t>
  </si>
  <si>
    <t>110204</t>
  </si>
  <si>
    <t>Палаци i будинки культури, клуби та iншi заклади клубного типу</t>
  </si>
  <si>
    <t>110502</t>
  </si>
  <si>
    <t>Iншi культурно-освiтнi заклади та заходи</t>
  </si>
  <si>
    <r>
      <t>120000</t>
    </r>
    <r>
      <rPr>
        <b/>
        <sz val="12"/>
        <color indexed="8"/>
        <rFont val="Times New Roman"/>
        <family val="1"/>
      </rPr>
      <t> </t>
    </r>
  </si>
  <si>
    <r>
      <t>Засоби масової інформації</t>
    </r>
    <r>
      <rPr>
        <b/>
        <sz val="12"/>
        <color indexed="8"/>
        <rFont val="Times New Roman"/>
        <family val="1"/>
      </rPr>
      <t> </t>
    </r>
  </si>
  <si>
    <t>120300</t>
  </si>
  <si>
    <t>Книговидання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</si>
  <si>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</si>
  <si>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Фiзична культура i спорт</t>
  </si>
  <si>
    <t>130102</t>
  </si>
  <si>
    <t>Проведення навчально-тренувальних зборiв i змагань</t>
  </si>
  <si>
    <t>130104</t>
  </si>
  <si>
    <t>Видатки на утримання центрiв з iнвалiдного спорту i реабiлiтацiйних шкiл</t>
  </si>
  <si>
    <t>130105</t>
  </si>
  <si>
    <t>Проведення навчально-тренувальних зборiв i змагань та заходiв з iнвалiдного спорту</t>
  </si>
  <si>
    <t>130107</t>
  </si>
  <si>
    <t>Утримання та навчально-тренувальна робота дитячо-юнацьких спортивних шкіл</t>
  </si>
  <si>
    <t>130114 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</si>
  <si>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</si>
  <si>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</si>
  <si>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</si>
  <si>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>Будiвництво</t>
  </si>
  <si>
    <t>150101</t>
  </si>
  <si>
    <t>Капiтальнi вкладення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</si>
  <si>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 з районного бюджету Рокитнівського району</t>
  </si>
  <si>
    <t>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 </t>
  </si>
  <si>
    <t>за рахунок інших субвенцій з місцевих бюджетів</t>
  </si>
  <si>
    <t>Транспорт, дорожнє господарство, зв'язок, телекомунiкацiї та iнформатика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</si>
  <si>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</si>
  <si>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</si>
  <si>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</si>
  <si>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</si>
  <si>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180404</t>
  </si>
  <si>
    <t>Підтримка малого і середнього підприємництва</t>
  </si>
  <si>
    <t>Обласна програма розвитку малого підприємництва в Рівненській області на 2011-2012 роки</t>
  </si>
  <si>
    <t>180410 </t>
  </si>
  <si>
    <t>Інші заходи, пов'язані з економічною діяльністю </t>
  </si>
  <si>
    <t>Обласна програма розвитку міжнародної  співпраці на 2010-2012 роки</t>
  </si>
  <si>
    <t>Програма науково-технічного та інноваційного розвитку Рівненської області на 2011-2013 роки</t>
  </si>
  <si>
    <t>200000</t>
  </si>
  <si>
    <r>
      <t>Охорона навколишнього природного середовища та ядерна безпека</t>
    </r>
    <r>
      <rPr>
        <sz val="12"/>
        <rFont val="Times New Roman"/>
        <family val="1"/>
      </rPr>
      <t> </t>
    </r>
  </si>
  <si>
    <t>200200</t>
  </si>
  <si>
    <t xml:space="preserve">Охорона і раціональне використання земель </t>
  </si>
  <si>
    <t>Запобігання та лiквiдацiя надзвичайних ситуацiй та наслiдкiв стихiйного лиха</t>
  </si>
  <si>
    <t>210105</t>
  </si>
  <si>
    <t>Видатки на запобігання та ліквідацію надзвичайних ситуацій та наслідків стихійного лиха </t>
  </si>
  <si>
    <t>Програма реконструкції, удосконалення  та розвитку територіальної автоматизованої системи централізованого оповіщення цивільного захисту Рівненської області "Сигнал-ВО"  на 2011-2017 роки</t>
  </si>
  <si>
    <t>Цiльовi фонди</t>
  </si>
  <si>
    <t>Охорона та раціональне використання природних ресурсів</t>
  </si>
  <si>
    <t>Утилізація відходів</t>
  </si>
  <si>
    <t>240603 </t>
  </si>
  <si>
    <t>Ліквідація іншого забруднення навколишнього природного середовища </t>
  </si>
  <si>
    <t>Інша діяльність у сфері охорони навколишнього природного середовища</t>
  </si>
  <si>
    <t>240605 </t>
  </si>
  <si>
    <t>Збереження природно-заповідного фонду </t>
  </si>
  <si>
    <t>250000</t>
  </si>
  <si>
    <t>Видатки, не вiднесенi до основних груп</t>
  </si>
  <si>
    <t>250404</t>
  </si>
  <si>
    <t>Іншi видатки, в т.ч.</t>
  </si>
  <si>
    <t>Програма розвитку місцевого самоврядування у Рівненській області на 2013-2017 роки</t>
  </si>
  <si>
    <t>Програма інформатизації Рівненської області на 2011-2013 роки</t>
  </si>
  <si>
    <t>Інші видатки (утримання науково-редакційної групи книги "Реабілітовані історією. Рівненська область")</t>
  </si>
  <si>
    <t>Програма розвитку туризму в Рівненській області  на 2011-2015 роки</t>
  </si>
  <si>
    <t>РАЗОМ ВИДАТКІВ</t>
  </si>
  <si>
    <t>Міжбюджетні трансферти</t>
  </si>
  <si>
    <t>250362 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</si>
  <si>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 </t>
  </si>
  <si>
    <t>250380</t>
  </si>
  <si>
    <t xml:space="preserve"> Інші субвенції ( на реалізацію проектів-перможців щорічного обласного конкурсу проектів розвитку територіальних громад області)</t>
  </si>
  <si>
    <t xml:space="preserve"> Інші субвенції </t>
  </si>
  <si>
    <t>ВСЬОГО</t>
  </si>
  <si>
    <t>Додаток 3</t>
  </si>
  <si>
    <t>від 31 січня 2013 року №847</t>
  </si>
  <si>
    <t>Зміни до розподілу видатків обласного бюджету на 2013 рік</t>
  </si>
  <si>
    <t>за головними розпорядниками коштів</t>
  </si>
  <si>
    <t>(грн)</t>
  </si>
  <si>
    <t>Код типової відомчої класифікації видатків</t>
  </si>
  <si>
    <t>Назва головного розпорядника коштів</t>
  </si>
  <si>
    <t>01</t>
  </si>
  <si>
    <t xml:space="preserve">Обласна рада </t>
  </si>
  <si>
    <r>
      <t>250000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</si>
  <si>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</si>
  <si>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t xml:space="preserve">Інші видатки </t>
  </si>
  <si>
    <t>03</t>
  </si>
  <si>
    <t>Обласна державна адміністрація</t>
  </si>
  <si>
    <t>08</t>
  </si>
  <si>
    <t>Управління з питань публічної аналітики та прогнозування облдержадміністрації</t>
  </si>
  <si>
    <t>09</t>
  </si>
  <si>
    <t>Відділ міжнародного співробітництва та європейської інтеграції облдержадміністрації</t>
  </si>
  <si>
    <r>
      <t>180000</t>
    </r>
    <r>
      <rPr>
        <b/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</si>
  <si>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b/>
        <sz val="12"/>
        <color indexed="8"/>
        <rFont val="Times New Roman"/>
        <family val="1"/>
      </rPr>
      <t> </t>
    </r>
  </si>
  <si>
    <t>10</t>
  </si>
  <si>
    <t>Управління 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</si>
  <si>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</si>
  <si>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r>
      <t>Освіта</t>
    </r>
    <r>
      <rPr>
        <b/>
        <sz val="12"/>
        <color indexed="8"/>
        <rFont val="Times New Roman"/>
        <family val="1"/>
      </rPr>
      <t> </t>
    </r>
  </si>
  <si>
    <r>
      <t>130000</t>
    </r>
    <r>
      <rPr>
        <b/>
        <sz val="12"/>
        <color indexed="8"/>
        <rFont val="Times New Roman"/>
        <family val="1"/>
      </rPr>
      <t> </t>
    </r>
  </si>
  <si>
    <r>
      <t>Фізична культура і спорт</t>
    </r>
    <r>
      <rPr>
        <b/>
        <sz val="12"/>
        <color indexed="8"/>
        <rFont val="Times New Roman"/>
        <family val="1"/>
      </rPr>
      <t> </t>
    </r>
  </si>
  <si>
    <t>11</t>
  </si>
  <si>
    <t>Відділ у справах сім‘ї та молоді облдержадміністрації</t>
  </si>
  <si>
    <r>
      <t>090000</t>
    </r>
    <r>
      <rPr>
        <b/>
        <sz val="12"/>
        <color indexed="8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</si>
  <si>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color indexed="8"/>
        <rFont val="Times New Roman"/>
        <family val="1"/>
      </rPr>
      <t> </t>
    </r>
  </si>
  <si>
    <t>090700 </t>
  </si>
  <si>
    <t>13</t>
  </si>
  <si>
    <t>Відділ з питань фізичної культури і  спорту  облдержадміністрації</t>
  </si>
  <si>
    <t>14</t>
  </si>
  <si>
    <t>Управління охорони здоров’я  облдержадміністрації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</si>
  <si>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</si>
  <si>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r>
      <t>080000</t>
    </r>
    <r>
      <rPr>
        <b/>
        <sz val="12"/>
        <color indexed="8"/>
        <rFont val="Times New Roman"/>
        <family val="1"/>
      </rPr>
      <t> </t>
    </r>
  </si>
  <si>
    <r>
      <t>Охорона здоров'я</t>
    </r>
    <r>
      <rPr>
        <b/>
        <sz val="12"/>
        <color indexed="8"/>
        <rFont val="Times New Roman"/>
        <family val="1"/>
      </rPr>
      <t> </t>
    </r>
  </si>
  <si>
    <r>
      <t>110000</t>
    </r>
    <r>
      <rPr>
        <b/>
        <sz val="12"/>
        <color indexed="8"/>
        <rFont val="Times New Roman"/>
        <family val="1"/>
      </rPr>
      <t> </t>
    </r>
  </si>
  <si>
    <r>
      <t>Культура і мистецтво</t>
    </r>
    <r>
      <rPr>
        <b/>
        <sz val="12"/>
        <color indexed="8"/>
        <rFont val="Times New Roman"/>
        <family val="1"/>
      </rPr>
      <t> </t>
    </r>
  </si>
  <si>
    <t>Бiблiотеки (медична бібліотека)</t>
  </si>
  <si>
    <r>
      <t>210000</t>
    </r>
    <r>
      <rPr>
        <b/>
        <sz val="12"/>
        <color indexed="8"/>
        <rFont val="Times New Roman"/>
        <family val="1"/>
      </rPr>
      <t> </t>
    </r>
  </si>
  <si>
    <r>
      <t>Запобігання та ліквідація надзвичайних ситуацій та наслідків стихійного лиха</t>
    </r>
    <r>
      <rPr>
        <b/>
        <sz val="12"/>
        <color indexed="8"/>
        <rFont val="Times New Roman"/>
        <family val="1"/>
      </rPr>
      <t> </t>
    </r>
  </si>
  <si>
    <t>15</t>
  </si>
  <si>
    <t>Головне управління праці та соціального захисту населення облдержадміністрації</t>
  </si>
  <si>
    <t>20</t>
  </si>
  <si>
    <t>Служба у справах дітей облдержадміністрації</t>
  </si>
  <si>
    <t>24</t>
  </si>
  <si>
    <t>Управління культури і туризму облдержадміністрації</t>
  </si>
  <si>
    <t>47</t>
  </si>
  <si>
    <t>Головне управління  з питань будівництва та архітектури облдержадміністрації</t>
  </si>
  <si>
    <t>150000 </t>
  </si>
  <si>
    <t>Будівництво </t>
  </si>
  <si>
    <r>
      <t>170000</t>
    </r>
    <r>
      <rPr>
        <sz val="12"/>
        <color indexed="8"/>
        <rFont val="Times New Roman"/>
        <family val="1"/>
      </rPr>
      <t> </t>
    </r>
  </si>
  <si>
    <r>
      <t>Транспорт, дорожнє господарство, зв'язок, телекомунікації та інформатика</t>
    </r>
    <r>
      <rPr>
        <sz val="12"/>
        <color indexed="8"/>
        <rFont val="Times New Roman"/>
        <family val="1"/>
      </rPr>
      <t> </t>
    </r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</si>
  <si>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</si>
  <si>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пунктах, з них</t>
  </si>
  <si>
    <r>
      <t>240000</t>
    </r>
    <r>
      <rPr>
        <sz val="12"/>
        <color indexed="8"/>
        <rFont val="Times New Roman"/>
        <family val="1"/>
      </rPr>
      <t> </t>
    </r>
  </si>
  <si>
    <r>
      <t>Цільові фонди</t>
    </r>
    <r>
      <rPr>
        <sz val="12"/>
        <color indexed="8"/>
        <rFont val="Times New Roman"/>
        <family val="1"/>
      </rPr>
      <t> </t>
    </r>
  </si>
  <si>
    <t>240602 </t>
  </si>
  <si>
    <t>Утилізація відходів </t>
  </si>
  <si>
    <t>53</t>
  </si>
  <si>
    <t>Головне управління агропромислового розвитку облдержадміністрації</t>
  </si>
  <si>
    <r>
      <t>200000</t>
    </r>
    <r>
      <rPr>
        <sz val="12"/>
        <color indexed="8"/>
        <rFont val="Times New Roman"/>
        <family val="1"/>
      </rPr>
      <t> </t>
    </r>
  </si>
  <si>
    <r>
      <t>Охорона навколишнього природного середовища та ядерна безпека</t>
    </r>
    <r>
      <rPr>
        <sz val="12"/>
        <color indexed="8"/>
        <rFont val="Times New Roman"/>
        <family val="1"/>
      </rPr>
      <t> </t>
    </r>
  </si>
  <si>
    <t>Охорона і раціональне використання земель </t>
  </si>
  <si>
    <t>67</t>
  </si>
  <si>
    <t>Управління з питань надзвичайних ситуацій та цивільного захисту населення облдержадміністрації</t>
  </si>
  <si>
    <r>
      <t>210000</t>
    </r>
    <r>
      <rPr>
        <sz val="12"/>
        <color indexed="8"/>
        <rFont val="Times New Roman"/>
        <family val="1"/>
      </rPr>
      <t> </t>
    </r>
  </si>
  <si>
    <r>
      <t>Запобігання та ліквідація надзвичайних ситуацій та наслідків стихійного лиха</t>
    </r>
    <r>
      <rPr>
        <sz val="12"/>
        <color indexed="8"/>
        <rFont val="Times New Roman"/>
        <family val="1"/>
      </rPr>
      <t> </t>
    </r>
  </si>
  <si>
    <t>73</t>
  </si>
  <si>
    <t>Головне управління економіки та інвестиційної політики облдержадміністрації</t>
  </si>
  <si>
    <t>180410</t>
  </si>
  <si>
    <t>Інші заходи, пов'язані з економічною діяльністю</t>
  </si>
  <si>
    <r>
      <t>240000</t>
    </r>
    <r>
      <rPr>
        <b/>
        <sz val="12"/>
        <color indexed="8"/>
        <rFont val="Times New Roman"/>
        <family val="1"/>
      </rPr>
      <t> </t>
    </r>
  </si>
  <si>
    <r>
      <t>Цільові фонди</t>
    </r>
    <r>
      <rPr>
        <b/>
        <sz val="12"/>
        <color indexed="8"/>
        <rFont val="Times New Roman"/>
        <family val="1"/>
      </rPr>
      <t> </t>
    </r>
  </si>
  <si>
    <t>240604</t>
  </si>
  <si>
    <t>Інша діяльність у сфері охорони навколишнього природного середовища </t>
  </si>
  <si>
    <t>всього</t>
  </si>
  <si>
    <t>з доходами</t>
  </si>
  <si>
    <t>кредити</t>
  </si>
  <si>
    <t>профіцит  ЗФ</t>
  </si>
  <si>
    <t>дефіцит СФ</t>
  </si>
  <si>
    <t>Додаток 4</t>
  </si>
  <si>
    <t>Зміни показників міжбюджетних трансфертів між державним бюджетом, обласним бюджетом та іншими бюджетами на 2013 рік</t>
  </si>
  <si>
    <t>№ з/п</t>
  </si>
  <si>
    <t>шифр</t>
  </si>
  <si>
    <t xml:space="preserve">Назва місцевого бюджету адміністративно-територіальної одиниці  </t>
  </si>
  <si>
    <t>Загальний  фонд</t>
  </si>
  <si>
    <t xml:space="preserve"> Інша субвенція з обласного бюджету</t>
  </si>
  <si>
    <t xml:space="preserve">Субвенція з державного бюджету місцевим бюжетам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</si>
  <si>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 Інші субвенції з обласного бюджету</t>
  </si>
  <si>
    <t xml:space="preserve">  на виконання 
Програми економічного та соціального розвитку Рівненської області на 2012 рік
(на реалізацію проектів-перможців щорічного обласного конкурсу проектів розвитку територіальних громад області)</t>
  </si>
  <si>
    <t xml:space="preserve"> на виконання 
Програми економічного та соціального розвитку Рівненської області на 2012 рік 
(на реалізацію проектів-перможців щорічного обласного конкурсу проектів розвитку територіальних громад області)</t>
  </si>
  <si>
    <t xml:space="preserve"> на реконструкцію приміщень поліклініки №3 для розміщення призовної дільниці Рівненського об"єднаного комісаріату по вул.Макарова,3  в м.Рівне (в т.ч.проектно-кошторисна документація)</t>
  </si>
  <si>
    <t xml:space="preserve">на будівництво котельні на твердому паливі і заміна мереж опалення Дерманського НВК "Загальноосвітня школа - гімназія" в с.Дермань Друга Здолбунівського району </t>
  </si>
  <si>
    <t>на капітальний ремонт з ліквідацією аварійного стану багатоквартирного житлового будинку по вул.Заводська,1 в с.Могиляни Острозького району (в т.ч. проектно-кошторисна документація)</t>
  </si>
  <si>
    <t>м. Рiвне</t>
  </si>
  <si>
    <t>м. Кузнецовськ</t>
  </si>
  <si>
    <t>м. Острог</t>
  </si>
  <si>
    <t>Разом по бюджетах  міст обласного значення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</si>
  <si>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</si>
  <si>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</si>
  <si>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</si>
  <si>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</si>
  <si>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</si>
  <si>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</si>
  <si>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</si>
  <si>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</si>
  <si>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</si>
  <si>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</si>
  <si>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</si>
  <si>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</si>
  <si>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</si>
  <si>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</si>
  <si>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</si>
  <si>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</si>
  <si>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</si>
  <si>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</si>
  <si>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</si>
  <si>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</si>
  <si>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 xml:space="preserve"> Перший заступник голови обласної ради     </t>
  </si>
  <si>
    <t>Додаток 5</t>
  </si>
  <si>
    <t xml:space="preserve">Зміни до повернення кредитів до обласного бюджету та надання кредитів з обласного бюджету на 2013 рік </t>
  </si>
  <si>
    <t>( грн.)</t>
  </si>
  <si>
    <t>Код типової відомчої класифікації видатків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</si>
  <si>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</si>
  <si>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</si>
  <si>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</si>
  <si>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</si>
  <si>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</si>
  <si>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Надання пільгового довгострокового кредиту громадянам на будівництво (реконструкцію) та придбання житла</t>
  </si>
  <si>
    <t xml:space="preserve">Головне управління агропромислового розвитку облдержадміністрації </t>
  </si>
  <si>
    <t>250903 </t>
  </si>
  <si>
    <t>Надання бюджетних позичок суб'єктам підприємницької діяльності </t>
  </si>
  <si>
    <t>Надання державного  пільгового кредиту індивідуальним сільським забудовникам</t>
  </si>
  <si>
    <t xml:space="preserve">                        Перший заступник голови обласної ради</t>
  </si>
  <si>
    <t xml:space="preserve">     Додаток  6</t>
  </si>
  <si>
    <t>до рішення Рівненської обласної ради</t>
  </si>
  <si>
    <t xml:space="preserve"> від 31 січня 2013 року  №847</t>
  </si>
  <si>
    <t>Джерела фінансування обласного бюджету на 2013 рік</t>
  </si>
  <si>
    <t xml:space="preserve">Код </t>
  </si>
  <si>
    <t>Назва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</si>
  <si>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</si>
  <si>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</si>
  <si>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</si>
  <si>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208400 </t>
  </si>
  <si>
    <t>Кошти, що передаються із загального фонду бюджету до бюджету розвитку (спеціального фонду) 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</si>
  <si>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</si>
  <si>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</si>
  <si>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</si>
  <si>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</si>
  <si>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</si>
  <si>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>602100 </t>
  </si>
  <si>
    <t>На початок періоду </t>
  </si>
  <si>
    <t>602400 </t>
  </si>
  <si>
    <t>Всього за типом боргового зобов'язання</t>
  </si>
  <si>
    <t>Додаток № 7</t>
  </si>
  <si>
    <t>до рішення Рівненської  обласної ради</t>
  </si>
  <si>
    <t xml:space="preserve">Зміни до переліку об’єктів,
видатки на які у 2013 році будуть здійснюватися
за рахунок коштів бюджету розвитку обласного бюджету 
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</si>
  <si>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</si>
  <si>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</si>
  <si>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</si>
  <si>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</si>
  <si>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</si>
  <si>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 з районного бюджету Рокитнівського району</t>
  </si>
  <si>
    <t>Центральна районна лікарня в смт Рокитне Рівненської області.Терапевтичний корпус (2-й пусковий комплекс-будівництво )</t>
  </si>
  <si>
    <t>за рахунок інших субвенційз місцевих бюджетів, в тому числі:</t>
  </si>
  <si>
    <t>з міського бюджету м.Дубно</t>
  </si>
  <si>
    <t>Каналізаційні очисні споруди, канлізаційна мережа, напірний колектор в м.Дубно - реконструкція</t>
  </si>
  <si>
    <t xml:space="preserve">Реконструкція комунального закладу "Обласний перинатальний центр" Рівненської обласної ради по вул.Міцкевича, 30 в м.Рівне під заклад третинного рівня </t>
  </si>
  <si>
    <t xml:space="preserve">Нерозподілений резерв капітальних вкладень поточного року  </t>
  </si>
  <si>
    <t>Погашення кредиторської заборгованості за 2012 рік</t>
  </si>
  <si>
    <t>Реконструкція системи водопостачання в смт Клевань Рівненського району (в т.ч.виготовлення проектно-кошторисної документації)</t>
  </si>
  <si>
    <t>Будівництво надвірного туалету комунального закладу "Клеванська загадьноосвітня санаторна школа-інтернат I-III ступенів" Рівненської обласної ради (в т.ч.виготовлення проектно-кошторисної документації)</t>
  </si>
  <si>
    <t>Реконструкція гаража Костопільського обласного ліцею-інтернату спортивного профілю (в т.ч.виготовлення проектно-кошторисної документації)</t>
  </si>
  <si>
    <r>
      <t>Реконструкція будинку культури та пришкільного інтернату під освітньо-культурний комплекс в с.Мульчиці Володимирецького району (</t>
    </r>
    <r>
      <rPr>
        <sz val="10"/>
        <rFont val="Times New Roman"/>
        <family val="1"/>
      </rPr>
      <t>за рахунок залишку коштів на 01.01.2013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спостереження)</t>
    </r>
  </si>
  <si>
    <t>Центральна районна лікарня в смт Рокитне Рівненської області.Терапевтичний корпус(друга черга)-будівництво(в т.ч.виготовлення проектно-кошторисної документації)</t>
  </si>
  <si>
    <t>Загальноосвітня школа на 796 учнів в с.Глинне Рокитнівського району Рівненської області-будівництво(в т.ч.виготовлення проектно-кошторисної документації)</t>
  </si>
  <si>
    <t>Реконструкція поліклініки Гощанської центральної районної лікарні по вул.Незалежності, 82 а в смт.Гоща (в т.ч. коригування проектно-кошторисної документації)</t>
  </si>
  <si>
    <t>Лікарська амбулаторія в с.Бабин Гощанського району-будівництво ( у т.ч. виготовлення проектно-кошторисної документації)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</si>
</sst>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</numFmts>
  <fonts count="118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0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 Cyr"/>
      <family val="1"/>
    </font>
    <font>
      <b/>
      <sz val="16"/>
      <color indexed="8"/>
      <name val="Times New Roman"/>
      <family val="0"/>
    </font>
    <font>
      <b/>
      <sz val="16"/>
      <name val="Times New Roman"/>
      <family val="1"/>
    </font>
    <font>
      <b/>
      <sz val="10.5"/>
      <name val="Times New Roman"/>
      <family val="1"/>
    </font>
    <font>
      <i/>
      <sz val="10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5"/>
      <name val="Times New Roman Cyr"/>
      <family val="1"/>
    </font>
    <font>
      <b/>
      <sz val="15"/>
      <name val="Times New Roman CYR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Helv"/>
      <family val="0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0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sz val="13"/>
      <color indexed="8"/>
      <name val="Times New Roman"/>
      <family val="1"/>
    </font>
    <font>
      <b/>
      <sz val="12"/>
      <name val="Arial Cyr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3.8"/>
      <name val="Times New Roman"/>
      <family val="1"/>
    </font>
    <font>
      <i/>
      <sz val="12"/>
      <color indexed="8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4"/>
      <color indexed="10"/>
      <name val="Times New Roman"/>
      <family val="1"/>
    </font>
    <font>
      <sz val="12"/>
      <color indexed="14"/>
      <name val="Times New Roman Cyr"/>
      <family val="1"/>
    </font>
    <font>
      <sz val="12"/>
      <color indexed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2"/>
      <color indexed="10"/>
      <name val="Times New Roman Cyr"/>
      <family val="1"/>
    </font>
    <font>
      <sz val="9"/>
      <color indexed="8"/>
      <name val="Times New Roman"/>
      <family val="1"/>
    </font>
    <font>
      <b/>
      <sz val="12"/>
      <color indexed="10"/>
      <name val="Times New Roman Cyr"/>
      <family val="1"/>
    </font>
    <font>
      <b/>
      <sz val="12"/>
      <color indexed="63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5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80" fontId="14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180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180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80" fontId="9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80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vertical="top" wrapText="1"/>
      <protection/>
    </xf>
    <xf numFmtId="180" fontId="10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180" fontId="15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49" fontId="17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17" fillId="0" borderId="0" xfId="4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49" fontId="9" fillId="0" borderId="10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horizontal="center" wrapText="1"/>
      <protection locked="0"/>
    </xf>
    <xf numFmtId="0" fontId="18" fillId="20" borderId="10" xfId="0" applyFont="1" applyFill="1" applyBorder="1" applyAlignment="1">
      <alignment horizontal="center" vertical="top" wrapText="1"/>
    </xf>
    <xf numFmtId="49" fontId="19" fillId="20" borderId="1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center"/>
    </xf>
    <xf numFmtId="49" fontId="10" fillId="0" borderId="10" xfId="0" applyNumberFormat="1" applyFont="1" applyBorder="1" applyAlignment="1" applyProtection="1">
      <alignment horizontal="right" vertical="top" wrapText="1"/>
      <protection locked="0"/>
    </xf>
    <xf numFmtId="0" fontId="12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Border="1" applyAlignment="1">
      <alignment horizontal="center" wrapText="1"/>
    </xf>
    <xf numFmtId="4" fontId="19" fillId="2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88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49" fontId="47" fillId="24" borderId="10" xfId="0" applyNumberFormat="1" applyFont="1" applyFill="1" applyBorder="1" applyAlignment="1">
      <alignment horizontal="center" vertical="top" wrapText="1"/>
    </xf>
    <xf numFmtId="49" fontId="47" fillId="24" borderId="10" xfId="0" applyNumberFormat="1" applyFont="1" applyFill="1" applyBorder="1" applyAlignment="1">
      <alignment horizontal="left" vertical="top" wrapText="1"/>
    </xf>
    <xf numFmtId="4" fontId="45" fillId="24" borderId="10" xfId="0" applyNumberFormat="1" applyFont="1" applyFill="1" applyBorder="1" applyAlignment="1">
      <alignment horizontal="center" vertical="top" wrapText="1"/>
    </xf>
    <xf numFmtId="3" fontId="12" fillId="25" borderId="0" xfId="0" applyNumberFormat="1" applyFont="1" applyFill="1" applyBorder="1" applyAlignment="1">
      <alignment/>
    </xf>
    <xf numFmtId="0" fontId="45" fillId="20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" fontId="45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Border="1" applyAlignment="1" applyProtection="1">
      <alignment vertical="top" wrapText="1"/>
      <protection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9" fontId="48" fillId="0" borderId="10" xfId="0" applyNumberFormat="1" applyFont="1" applyFill="1" applyBorder="1" applyAlignment="1">
      <alignment vertical="top" wrapText="1"/>
    </xf>
    <xf numFmtId="0" fontId="12" fillId="20" borderId="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8" fillId="25" borderId="10" xfId="0" applyNumberFormat="1" applyFont="1" applyFill="1" applyBorder="1" applyAlignment="1" applyProtection="1">
      <alignment vertical="top" wrapText="1"/>
      <protection locked="0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0" fontId="42" fillId="20" borderId="0" xfId="0" applyFont="1" applyFill="1" applyBorder="1" applyAlignment="1">
      <alignment/>
    </xf>
    <xf numFmtId="49" fontId="48" fillId="0" borderId="10" xfId="0" applyNumberFormat="1" applyFont="1" applyBorder="1" applyAlignment="1" applyProtection="1">
      <alignment vertical="top" wrapText="1"/>
      <protection locked="0"/>
    </xf>
    <xf numFmtId="49" fontId="48" fillId="25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25" borderId="10" xfId="0" applyNumberFormat="1" applyFont="1" applyFill="1" applyBorder="1" applyAlignment="1" applyProtection="1">
      <alignment vertical="top" wrapText="1"/>
      <protection locked="0"/>
    </xf>
    <xf numFmtId="4" fontId="51" fillId="24" borderId="10" xfId="0" applyNumberFormat="1" applyFont="1" applyFill="1" applyBorder="1" applyAlignment="1">
      <alignment horizontal="center" vertical="top"/>
    </xf>
    <xf numFmtId="0" fontId="52" fillId="20" borderId="0" xfId="0" applyFont="1" applyFill="1" applyBorder="1" applyAlignment="1">
      <alignment/>
    </xf>
    <xf numFmtId="4" fontId="51" fillId="24" borderId="10" xfId="0" applyNumberFormat="1" applyFont="1" applyFill="1" applyBorder="1" applyAlignment="1">
      <alignment horizontal="center" vertical="top" wrapText="1"/>
    </xf>
    <xf numFmtId="4" fontId="51" fillId="0" borderId="10" xfId="0" applyNumberFormat="1" applyFont="1" applyFill="1" applyBorder="1" applyAlignment="1">
      <alignment horizontal="center" vertical="top" wrapText="1"/>
    </xf>
    <xf numFmtId="4" fontId="53" fillId="0" borderId="10" xfId="0" applyNumberFormat="1" applyFont="1" applyFill="1" applyBorder="1" applyAlignment="1">
      <alignment horizontal="center" vertical="top" wrapText="1"/>
    </xf>
    <xf numFmtId="49" fontId="54" fillId="24" borderId="10" xfId="0" applyNumberFormat="1" applyFont="1" applyFill="1" applyBorder="1" applyAlignment="1">
      <alignment horizontal="center" vertical="top" wrapText="1"/>
    </xf>
    <xf numFmtId="49" fontId="54" fillId="24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3" xfId="54" applyFont="1" applyFill="1" applyBorder="1" applyAlignment="1" applyProtection="1">
      <alignment horizontal="left" vertical="center" wrapText="1"/>
      <protection/>
    </xf>
    <xf numFmtId="180" fontId="40" fillId="0" borderId="0" xfId="0" applyNumberFormat="1" applyFont="1" applyFill="1" applyBorder="1" applyAlignment="1">
      <alignment/>
    </xf>
    <xf numFmtId="0" fontId="12" fillId="0" borderId="0" xfId="54" applyFont="1" applyFill="1" applyBorder="1" applyAlignment="1" applyProtection="1">
      <alignment horizontal="left" vertical="center" wrapText="1"/>
      <protection/>
    </xf>
    <xf numFmtId="180" fontId="0" fillId="0" borderId="0" xfId="0" applyNumberForma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4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40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8" fillId="22" borderId="10" xfId="0" applyNumberFormat="1" applyFont="1" applyFill="1" applyBorder="1" applyAlignment="1">
      <alignment horizontal="center" vertical="top" wrapText="1"/>
    </xf>
    <xf numFmtId="49" fontId="9" fillId="22" borderId="10" xfId="0" applyNumberFormat="1" applyFont="1" applyFill="1" applyBorder="1" applyAlignment="1">
      <alignment vertical="top" wrapText="1"/>
    </xf>
    <xf numFmtId="4" fontId="60" fillId="22" borderId="10" xfId="0" applyNumberFormat="1" applyFont="1" applyFill="1" applyBorder="1" applyAlignment="1">
      <alignment horizontal="center" vertical="top" wrapText="1"/>
    </xf>
    <xf numFmtId="3" fontId="8" fillId="22" borderId="0" xfId="0" applyNumberFormat="1" applyFont="1" applyFill="1" applyAlignment="1">
      <alignment/>
    </xf>
    <xf numFmtId="0" fontId="8" fillId="22" borderId="0" xfId="0" applyFont="1" applyFill="1" applyAlignment="1">
      <alignment/>
    </xf>
    <xf numFmtId="4" fontId="5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9" fillId="0" borderId="10" xfId="0" applyNumberFormat="1" applyFont="1" applyFill="1" applyBorder="1" applyAlignment="1">
      <alignment horizontal="center" vertical="top" wrapText="1"/>
    </xf>
    <xf numFmtId="4" fontId="60" fillId="0" borderId="10" xfId="0" applyNumberFormat="1" applyFont="1" applyFill="1" applyBorder="1" applyAlignment="1">
      <alignment horizontal="center" vertical="top" wrapText="1"/>
    </xf>
    <xf numFmtId="4" fontId="61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22" borderId="10" xfId="0" applyNumberFormat="1" applyFont="1" applyFill="1" applyBorder="1" applyAlignment="1" applyProtection="1">
      <alignment vertical="top" wrapText="1"/>
      <protection locked="0"/>
    </xf>
    <xf numFmtId="0" fontId="0" fillId="22" borderId="0" xfId="0" applyFill="1" applyAlignment="1">
      <alignment/>
    </xf>
    <xf numFmtId="4" fontId="60" fillId="0" borderId="10" xfId="0" applyNumberFormat="1" applyFont="1" applyFill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 applyProtection="1">
      <alignment vertical="top" wrapText="1"/>
      <protection locked="0"/>
    </xf>
    <xf numFmtId="0" fontId="62" fillId="0" borderId="0" xfId="0" applyFont="1" applyAlignment="1">
      <alignment/>
    </xf>
    <xf numFmtId="49" fontId="45" fillId="0" borderId="10" xfId="0" applyNumberFormat="1" applyFont="1" applyBorder="1" applyAlignment="1" applyProtection="1">
      <alignment vertical="top" wrapText="1"/>
      <protection locked="0"/>
    </xf>
    <xf numFmtId="4" fontId="49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 wrapText="1"/>
    </xf>
    <xf numFmtId="4" fontId="53" fillId="25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vertical="top" wrapText="1"/>
    </xf>
    <xf numFmtId="4" fontId="53" fillId="25" borderId="10" xfId="0" applyNumberFormat="1" applyFont="1" applyFill="1" applyBorder="1" applyAlignment="1">
      <alignment horizontal="center" vertical="top" wrapText="1"/>
    </xf>
    <xf numFmtId="49" fontId="9" fillId="22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0" xfId="0" applyFont="1" applyFill="1" applyAlignment="1">
      <alignment/>
    </xf>
    <xf numFmtId="49" fontId="45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49" fontId="47" fillId="0" borderId="10" xfId="0" applyNumberFormat="1" applyFont="1" applyBorder="1" applyAlignment="1" applyProtection="1">
      <alignment vertical="top" wrapText="1"/>
      <protection locked="0"/>
    </xf>
    <xf numFmtId="0" fontId="8" fillId="22" borderId="0" xfId="0" applyFont="1" applyFill="1" applyBorder="1" applyAlignment="1">
      <alignment/>
    </xf>
    <xf numFmtId="4" fontId="63" fillId="0" borderId="10" xfId="0" applyNumberFormat="1" applyFont="1" applyBorder="1" applyAlignment="1">
      <alignment horizontal="center" vertical="top" wrapText="1"/>
    </xf>
    <xf numFmtId="4" fontId="53" fillId="22" borderId="10" xfId="0" applyNumberFormat="1" applyFont="1" applyFill="1" applyBorder="1" applyAlignment="1">
      <alignment horizontal="center" vertical="top" wrapText="1"/>
    </xf>
    <xf numFmtId="4" fontId="53" fillId="22" borderId="10" xfId="0" applyNumberFormat="1" applyFont="1" applyFill="1" applyBorder="1" applyAlignment="1">
      <alignment horizontal="center" vertical="top" wrapText="1"/>
    </xf>
    <xf numFmtId="0" fontId="40" fillId="22" borderId="0" xfId="0" applyFont="1" applyFill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2" fontId="40" fillId="22" borderId="0" xfId="0" applyNumberFormat="1" applyFont="1" applyFill="1" applyAlignment="1">
      <alignment/>
    </xf>
    <xf numFmtId="3" fontId="53" fillId="0" borderId="10" xfId="0" applyNumberFormat="1" applyFont="1" applyFill="1" applyBorder="1" applyAlignment="1">
      <alignment horizontal="center" vertical="top" wrapText="1"/>
    </xf>
    <xf numFmtId="3" fontId="53" fillId="0" borderId="10" xfId="0" applyNumberFormat="1" applyFont="1" applyFill="1" applyBorder="1" applyAlignment="1">
      <alignment horizontal="center" vertical="top" wrapText="1"/>
    </xf>
    <xf numFmtId="3" fontId="49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/>
    </xf>
    <xf numFmtId="3" fontId="60" fillId="22" borderId="10" xfId="0" applyNumberFormat="1" applyFont="1" applyFill="1" applyBorder="1" applyAlignment="1">
      <alignment horizontal="center" vertical="top" wrapText="1"/>
    </xf>
    <xf numFmtId="3" fontId="60" fillId="0" borderId="10" xfId="0" applyNumberFormat="1" applyFont="1" applyFill="1" applyBorder="1" applyAlignment="1">
      <alignment horizontal="center" vertical="top" wrapText="1"/>
    </xf>
    <xf numFmtId="3" fontId="49" fillId="0" borderId="10" xfId="0" applyNumberFormat="1" applyFont="1" applyFill="1" applyBorder="1" applyAlignment="1">
      <alignment horizontal="center" vertical="top"/>
    </xf>
    <xf numFmtId="4" fontId="49" fillId="0" borderId="10" xfId="0" applyNumberFormat="1" applyFont="1" applyFill="1" applyBorder="1" applyAlignment="1">
      <alignment horizontal="center" vertical="top"/>
    </xf>
    <xf numFmtId="49" fontId="48" fillId="22" borderId="10" xfId="0" applyNumberFormat="1" applyFont="1" applyFill="1" applyBorder="1" applyAlignment="1">
      <alignment horizontal="center" vertical="top" wrapText="1"/>
    </xf>
    <xf numFmtId="49" fontId="47" fillId="22" borderId="10" xfId="0" applyNumberFormat="1" applyFont="1" applyFill="1" applyBorder="1" applyAlignment="1">
      <alignment vertical="top" wrapText="1"/>
    </xf>
    <xf numFmtId="4" fontId="19" fillId="22" borderId="10" xfId="0" applyNumberFormat="1" applyFont="1" applyFill="1" applyBorder="1" applyAlignment="1">
      <alignment horizontal="center" vertical="top" wrapText="1"/>
    </xf>
    <xf numFmtId="49" fontId="64" fillId="22" borderId="10" xfId="0" applyNumberFormat="1" applyFont="1" applyFill="1" applyBorder="1" applyAlignment="1" applyProtection="1">
      <alignment horizontal="center" vertical="top" wrapText="1"/>
      <protection locked="0"/>
    </xf>
    <xf numFmtId="49" fontId="65" fillId="22" borderId="10" xfId="42" applyNumberFormat="1" applyFont="1" applyFill="1" applyBorder="1" applyAlignment="1" applyProtection="1">
      <alignment vertical="top" wrapText="1"/>
      <protection locked="0"/>
    </xf>
    <xf numFmtId="4" fontId="65" fillId="22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52" fillId="0" borderId="0" xfId="0" applyNumberFormat="1" applyFont="1" applyAlignment="1" applyProtection="1">
      <alignment vertical="top"/>
      <protection locked="0"/>
    </xf>
    <xf numFmtId="0" fontId="52" fillId="0" borderId="0" xfId="0" applyFont="1" applyAlignment="1">
      <alignment horizontal="left" vertical="center"/>
    </xf>
    <xf numFmtId="3" fontId="40" fillId="0" borderId="0" xfId="0" applyNumberFormat="1" applyFont="1" applyAlignment="1">
      <alignment horizontal="left" vertical="center"/>
    </xf>
    <xf numFmtId="49" fontId="3" fillId="0" borderId="0" xfId="42" applyNumberFormat="1" applyFont="1" applyAlignment="1" applyProtection="1">
      <alignment horizontal="center" vertical="center"/>
      <protection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180" fontId="40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3" fontId="67" fillId="22" borderId="0" xfId="0" applyNumberFormat="1" applyFont="1" applyFill="1" applyAlignment="1">
      <alignment/>
    </xf>
    <xf numFmtId="4" fontId="66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4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72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75" fillId="0" borderId="10" xfId="55" applyFont="1" applyFill="1" applyBorder="1" applyAlignment="1">
      <alignment vertical="top"/>
      <protection/>
    </xf>
    <xf numFmtId="3" fontId="12" fillId="0" borderId="10" xfId="55" applyNumberFormat="1" applyFont="1" applyFill="1" applyBorder="1" applyAlignment="1">
      <alignment/>
      <protection/>
    </xf>
    <xf numFmtId="4" fontId="12" fillId="0" borderId="10" xfId="55" applyNumberFormat="1" applyFont="1" applyFill="1" applyBorder="1" applyAlignment="1">
      <alignment/>
      <protection/>
    </xf>
    <xf numFmtId="4" fontId="12" fillId="0" borderId="1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75" fillId="0" borderId="10" xfId="55" applyFont="1" applyBorder="1" applyAlignment="1">
      <alignment vertical="top"/>
      <protection/>
    </xf>
    <xf numFmtId="3" fontId="12" fillId="0" borderId="10" xfId="55" applyNumberFormat="1" applyFont="1" applyBorder="1" applyAlignment="1">
      <alignment/>
      <protection/>
    </xf>
    <xf numFmtId="0" fontId="48" fillId="4" borderId="10" xfId="0" applyNumberFormat="1" applyFont="1" applyFill="1" applyBorder="1" applyAlignment="1">
      <alignment horizontal="center"/>
    </xf>
    <xf numFmtId="0" fontId="77" fillId="4" borderId="10" xfId="55" applyFont="1" applyFill="1" applyBorder="1" applyAlignment="1">
      <alignment horizontal="left" vertical="center" wrapText="1"/>
      <protection/>
    </xf>
    <xf numFmtId="4" fontId="45" fillId="4" borderId="10" xfId="55" applyNumberFormat="1" applyFont="1" applyFill="1" applyBorder="1" applyAlignment="1">
      <alignment/>
      <protection/>
    </xf>
    <xf numFmtId="3" fontId="78" fillId="4" borderId="0" xfId="55" applyNumberFormat="1" applyFont="1" applyFill="1" applyBorder="1" applyAlignment="1">
      <alignment/>
      <protection/>
    </xf>
    <xf numFmtId="0" fontId="74" fillId="0" borderId="10" xfId="0" applyFont="1" applyBorder="1" applyAlignment="1">
      <alignment horizontal="right"/>
    </xf>
    <xf numFmtId="4" fontId="12" fillId="0" borderId="10" xfId="55" applyNumberFormat="1" applyFont="1" applyBorder="1" applyAlignment="1">
      <alignment/>
      <protection/>
    </xf>
    <xf numFmtId="0" fontId="75" fillId="0" borderId="10" xfId="55" applyFont="1" applyBorder="1" applyAlignment="1">
      <alignment vertical="center"/>
      <protection/>
    </xf>
    <xf numFmtId="0" fontId="75" fillId="0" borderId="10" xfId="55" applyFont="1" applyBorder="1" applyAlignment="1">
      <alignment horizontal="left" vertical="center"/>
      <protection/>
    </xf>
    <xf numFmtId="0" fontId="48" fillId="4" borderId="10" xfId="0" applyNumberFormat="1" applyFont="1" applyFill="1" applyBorder="1" applyAlignment="1">
      <alignment horizontal="right"/>
    </xf>
    <xf numFmtId="0" fontId="77" fillId="4" borderId="10" xfId="55" applyFont="1" applyFill="1" applyBorder="1" applyAlignment="1">
      <alignment horizontal="center" vertical="center" wrapText="1"/>
      <protection/>
    </xf>
    <xf numFmtId="0" fontId="75" fillId="0" borderId="10" xfId="55" applyFont="1" applyBorder="1" applyAlignment="1">
      <alignment vertical="top" wrapText="1"/>
      <protection/>
    </xf>
    <xf numFmtId="3" fontId="12" fillId="0" borderId="10" xfId="55" applyNumberFormat="1" applyFont="1" applyBorder="1" applyAlignment="1">
      <alignment horizontal="right"/>
      <protection/>
    </xf>
    <xf numFmtId="3" fontId="71" fillId="0" borderId="0" xfId="0" applyNumberFormat="1" applyFont="1" applyAlignment="1">
      <alignment/>
    </xf>
    <xf numFmtId="0" fontId="12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right"/>
    </xf>
    <xf numFmtId="0" fontId="80" fillId="0" borderId="0" xfId="0" applyFont="1" applyAlignment="1">
      <alignment/>
    </xf>
    <xf numFmtId="9" fontId="4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0" fontId="42" fillId="0" borderId="0" xfId="0" applyFont="1" applyAlignment="1">
      <alignment/>
    </xf>
    <xf numFmtId="0" fontId="7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22" borderId="10" xfId="0" applyFont="1" applyFill="1" applyBorder="1" applyAlignment="1">
      <alignment horizontal="center" vertical="top" wrapText="1"/>
    </xf>
    <xf numFmtId="49" fontId="9" fillId="22" borderId="10" xfId="0" applyNumberFormat="1" applyFont="1" applyFill="1" applyBorder="1" applyAlignment="1" applyProtection="1">
      <alignment horizontal="left" vertical="top" wrapText="1"/>
      <protection locked="0"/>
    </xf>
    <xf numFmtId="4" fontId="47" fillId="22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4" fontId="47" fillId="0" borderId="10" xfId="0" applyNumberFormat="1" applyFont="1" applyBorder="1" applyAlignment="1">
      <alignment horizontal="right" vertical="center" wrapText="1"/>
    </xf>
    <xf numFmtId="0" fontId="45" fillId="22" borderId="10" xfId="0" applyFont="1" applyFill="1" applyBorder="1" applyAlignment="1">
      <alignment horizontal="left" vertical="top" wrapText="1"/>
    </xf>
    <xf numFmtId="4" fontId="81" fillId="22" borderId="10" xfId="0" applyNumberFormat="1" applyFont="1" applyFill="1" applyBorder="1" applyAlignment="1">
      <alignment horizontal="right" vertical="center" wrapText="1"/>
    </xf>
    <xf numFmtId="4" fontId="81" fillId="0" borderId="10" xfId="0" applyNumberFormat="1" applyFont="1" applyFill="1" applyBorder="1" applyAlignment="1">
      <alignment horizontal="right" vertical="center" wrapText="1"/>
    </xf>
    <xf numFmtId="4" fontId="81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82" fillId="0" borderId="0" xfId="0" applyFont="1" applyAlignment="1">
      <alignment/>
    </xf>
    <xf numFmtId="1" fontId="83" fillId="0" borderId="0" xfId="0" applyNumberFormat="1" applyFont="1" applyFill="1" applyBorder="1" applyAlignment="1">
      <alignment vertical="top" wrapText="1"/>
    </xf>
    <xf numFmtId="49" fontId="83" fillId="0" borderId="0" xfId="0" applyNumberFormat="1" applyFont="1" applyFill="1" applyBorder="1" applyAlignment="1">
      <alignment vertical="top" wrapText="1"/>
    </xf>
    <xf numFmtId="0" fontId="84" fillId="0" borderId="0" xfId="0" applyFont="1" applyAlignment="1">
      <alignment/>
    </xf>
    <xf numFmtId="0" fontId="83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49" fontId="89" fillId="0" borderId="20" xfId="0" applyNumberFormat="1" applyFont="1" applyFill="1" applyBorder="1" applyAlignment="1">
      <alignment horizontal="center" vertical="top" wrapText="1"/>
    </xf>
    <xf numFmtId="49" fontId="89" fillId="0" borderId="10" xfId="0" applyNumberFormat="1" applyFont="1" applyFill="1" applyBorder="1" applyAlignment="1">
      <alignment horizontal="center" vertical="top" wrapText="1"/>
    </xf>
    <xf numFmtId="0" fontId="90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/>
    </xf>
    <xf numFmtId="49" fontId="91" fillId="26" borderId="20" xfId="0" applyNumberFormat="1" applyFont="1" applyFill="1" applyBorder="1" applyAlignment="1">
      <alignment horizontal="center" vertical="top" wrapText="1"/>
    </xf>
    <xf numFmtId="49" fontId="91" fillId="26" borderId="10" xfId="0" applyNumberFormat="1" applyFont="1" applyFill="1" applyBorder="1" applyAlignment="1">
      <alignment vertical="top" wrapText="1"/>
    </xf>
    <xf numFmtId="4" fontId="88" fillId="26" borderId="10" xfId="0" applyNumberFormat="1" applyFont="1" applyFill="1" applyBorder="1" applyAlignment="1">
      <alignment horizontal="center" vertical="top" wrapText="1"/>
    </xf>
    <xf numFmtId="4" fontId="88" fillId="26" borderId="12" xfId="0" applyNumberFormat="1" applyFont="1" applyFill="1" applyBorder="1" applyAlignment="1">
      <alignment horizontal="center" vertical="top" wrapText="1"/>
    </xf>
    <xf numFmtId="0" fontId="79" fillId="25" borderId="0" xfId="0" applyFont="1" applyFill="1" applyBorder="1" applyAlignment="1">
      <alignment/>
    </xf>
    <xf numFmtId="0" fontId="79" fillId="20" borderId="0" xfId="0" applyFont="1" applyFill="1" applyBorder="1" applyAlignment="1">
      <alignment/>
    </xf>
    <xf numFmtId="49" fontId="91" fillId="0" borderId="20" xfId="0" applyNumberFormat="1" applyFont="1" applyFill="1" applyBorder="1" applyAlignment="1">
      <alignment horizontal="center" vertical="top" wrapText="1"/>
    </xf>
    <xf numFmtId="49" fontId="91" fillId="0" borderId="10" xfId="0" applyNumberFormat="1" applyFont="1" applyFill="1" applyBorder="1" applyAlignment="1">
      <alignment horizontal="left" vertical="top" wrapText="1"/>
    </xf>
    <xf numFmtId="4" fontId="91" fillId="0" borderId="10" xfId="0" applyNumberFormat="1" applyFont="1" applyFill="1" applyBorder="1" applyAlignment="1">
      <alignment horizontal="center" vertical="top" wrapText="1"/>
    </xf>
    <xf numFmtId="4" fontId="88" fillId="0" borderId="10" xfId="0" applyNumberFormat="1" applyFont="1" applyFill="1" applyBorder="1" applyAlignment="1">
      <alignment horizontal="center" vertical="top" wrapText="1"/>
    </xf>
    <xf numFmtId="4" fontId="88" fillId="0" borderId="12" xfId="0" applyNumberFormat="1" applyFont="1" applyFill="1" applyBorder="1" applyAlignment="1">
      <alignment horizontal="center" vertical="top" wrapText="1"/>
    </xf>
    <xf numFmtId="0" fontId="83" fillId="25" borderId="0" xfId="0" applyFont="1" applyFill="1" applyBorder="1" applyAlignment="1">
      <alignment/>
    </xf>
    <xf numFmtId="0" fontId="83" fillId="20" borderId="0" xfId="0" applyFont="1" applyFill="1" applyBorder="1" applyAlignment="1">
      <alignment/>
    </xf>
    <xf numFmtId="49" fontId="91" fillId="0" borderId="10" xfId="0" applyNumberFormat="1" applyFont="1" applyFill="1" applyBorder="1" applyAlignment="1">
      <alignment vertical="top" wrapText="1"/>
    </xf>
    <xf numFmtId="4" fontId="88" fillId="0" borderId="21" xfId="0" applyNumberFormat="1" applyFont="1" applyFill="1" applyBorder="1" applyAlignment="1">
      <alignment horizontal="center" vertical="top" wrapText="1"/>
    </xf>
    <xf numFmtId="3" fontId="88" fillId="0" borderId="22" xfId="0" applyNumberFormat="1" applyFont="1" applyFill="1" applyBorder="1" applyAlignment="1">
      <alignment horizontal="center" vertical="top" wrapText="1"/>
    </xf>
    <xf numFmtId="3" fontId="88" fillId="0" borderId="23" xfId="0" applyNumberFormat="1" applyFont="1" applyFill="1" applyBorder="1" applyAlignment="1">
      <alignment horizontal="left" vertical="top" wrapText="1"/>
    </xf>
    <xf numFmtId="4" fontId="88" fillId="0" borderId="23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4" fontId="88" fillId="0" borderId="24" xfId="0" applyNumberFormat="1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49" fontId="93" fillId="0" borderId="0" xfId="0" applyNumberFormat="1" applyFont="1" applyFill="1" applyBorder="1" applyAlignment="1" applyProtection="1">
      <alignment vertical="top" wrapText="1"/>
      <protection locked="0"/>
    </xf>
    <xf numFmtId="0" fontId="79" fillId="0" borderId="0" xfId="54" applyFont="1" applyFill="1" applyBorder="1" applyAlignment="1" applyProtection="1">
      <alignment vertical="center" wrapText="1"/>
      <protection/>
    </xf>
    <xf numFmtId="180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4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6" borderId="10" xfId="0" applyFont="1" applyFill="1" applyBorder="1" applyAlignment="1">
      <alignment vertical="top" wrapText="1"/>
    </xf>
    <xf numFmtId="0" fontId="45" fillId="6" borderId="10" xfId="0" applyFont="1" applyFill="1" applyBorder="1" applyAlignment="1">
      <alignment horizontal="center" vertical="top" wrapText="1"/>
    </xf>
    <xf numFmtId="2" fontId="12" fillId="6" borderId="10" xfId="0" applyNumberFormat="1" applyFont="1" applyFill="1" applyBorder="1" applyAlignment="1">
      <alignment vertical="center" wrapText="1"/>
    </xf>
    <xf numFmtId="4" fontId="45" fillId="6" borderId="1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70" fillId="0" borderId="10" xfId="0" applyFont="1" applyBorder="1" applyAlignment="1">
      <alignment vertical="top" wrapText="1"/>
    </xf>
    <xf numFmtId="4" fontId="70" fillId="0" borderId="10" xfId="0" applyNumberFormat="1" applyFont="1" applyBorder="1" applyAlignment="1">
      <alignment vertical="center"/>
    </xf>
    <xf numFmtId="49" fontId="97" fillId="0" borderId="10" xfId="0" applyNumberFormat="1" applyFont="1" applyFill="1" applyBorder="1" applyAlignment="1">
      <alignment vertical="top" wrapText="1"/>
    </xf>
    <xf numFmtId="0" fontId="70" fillId="0" borderId="10" xfId="0" applyFont="1" applyBorder="1" applyAlignment="1">
      <alignment vertical="center"/>
    </xf>
    <xf numFmtId="192" fontId="51" fillId="0" borderId="19" xfId="56" applyNumberFormat="1" applyFont="1" applyFill="1" applyBorder="1" applyAlignment="1">
      <alignment horizontal="center"/>
      <protection/>
    </xf>
    <xf numFmtId="192" fontId="12" fillId="0" borderId="0" xfId="0" applyNumberFormat="1" applyFont="1" applyBorder="1" applyAlignment="1">
      <alignment vertical="center"/>
    </xf>
    <xf numFmtId="0" fontId="12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center"/>
    </xf>
    <xf numFmtId="0" fontId="45" fillId="6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4" fontId="12" fillId="0" borderId="21" xfId="0" applyNumberFormat="1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9" xfId="0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5" fillId="22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 vertical="center" wrapText="1"/>
    </xf>
    <xf numFmtId="49" fontId="19" fillId="22" borderId="10" xfId="0" applyNumberFormat="1" applyFont="1" applyFill="1" applyBorder="1" applyAlignment="1" applyProtection="1">
      <alignment vertical="top" wrapText="1"/>
      <protection locked="0"/>
    </xf>
    <xf numFmtId="49" fontId="51" fillId="22" borderId="10" xfId="0" applyNumberFormat="1" applyFont="1" applyFill="1" applyBorder="1" applyAlignment="1" applyProtection="1">
      <alignment horizontal="center" vertical="center" wrapText="1"/>
      <protection locked="0"/>
    </xf>
    <xf numFmtId="4" fontId="51" fillId="22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vertical="top" wrapText="1"/>
    </xf>
    <xf numFmtId="4" fontId="52" fillId="0" borderId="10" xfId="0" applyNumberFormat="1" applyFont="1" applyBorder="1" applyAlignment="1">
      <alignment horizontal="center" vertical="center" wrapText="1"/>
    </xf>
    <xf numFmtId="49" fontId="19" fillId="22" borderId="10" xfId="0" applyNumberFormat="1" applyFont="1" applyFill="1" applyBorder="1" applyAlignment="1">
      <alignment horizontal="center" vertical="top" wrapText="1"/>
    </xf>
    <xf numFmtId="3" fontId="99" fillId="0" borderId="0" xfId="0" applyNumberFormat="1" applyFont="1" applyAlignment="1">
      <alignment/>
    </xf>
    <xf numFmtId="0" fontId="92" fillId="0" borderId="10" xfId="0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3" fontId="100" fillId="0" borderId="0" xfId="0" applyNumberFormat="1" applyFont="1" applyAlignment="1">
      <alignment/>
    </xf>
    <xf numFmtId="0" fontId="80" fillId="0" borderId="0" xfId="0" applyFont="1" applyAlignment="1">
      <alignment/>
    </xf>
    <xf numFmtId="4" fontId="9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 applyProtection="1">
      <alignment vertical="top" wrapText="1"/>
      <protection locked="0"/>
    </xf>
    <xf numFmtId="49" fontId="52" fillId="0" borderId="10" xfId="0" applyNumberFormat="1" applyFont="1" applyBorder="1" applyAlignment="1" applyProtection="1">
      <alignment vertical="top" wrapText="1"/>
      <protection locked="0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49" fontId="52" fillId="0" borderId="10" xfId="0" applyNumberFormat="1" applyFont="1" applyBorder="1" applyAlignment="1" applyProtection="1">
      <alignment horizontal="center" vertical="top" wrapText="1"/>
      <protection locked="0"/>
    </xf>
    <xf numFmtId="49" fontId="52" fillId="0" borderId="10" xfId="0" applyNumberFormat="1" applyFont="1" applyBorder="1" applyAlignment="1" applyProtection="1">
      <alignment horizontal="left" vertical="top" wrapText="1"/>
      <protection locked="0"/>
    </xf>
    <xf numFmtId="49" fontId="10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1" fillId="0" borderId="10" xfId="0" applyNumberFormat="1" applyFont="1" applyFill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center" vertical="center" wrapText="1"/>
    </xf>
    <xf numFmtId="4" fontId="10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 applyProtection="1">
      <alignment vertical="top" wrapText="1"/>
      <protection locked="0"/>
    </xf>
    <xf numFmtId="49" fontId="52" fillId="0" borderId="10" xfId="0" applyNumberFormat="1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vertical="top" wrapText="1"/>
    </xf>
    <xf numFmtId="3" fontId="9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 applyProtection="1">
      <alignment horizontal="center" vertical="top" wrapText="1"/>
      <protection locked="0"/>
    </xf>
    <xf numFmtId="49" fontId="103" fillId="0" borderId="10" xfId="0" applyNumberFormat="1" applyFont="1" applyBorder="1" applyAlignment="1" applyProtection="1">
      <alignment horizontal="left" vertical="top" wrapText="1"/>
      <protection locked="0"/>
    </xf>
    <xf numFmtId="4" fontId="103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103" fillId="0" borderId="10" xfId="0" applyNumberFormat="1" applyFont="1" applyBorder="1" applyAlignment="1" applyProtection="1">
      <alignment vertical="top" wrapText="1"/>
      <protection locked="0"/>
    </xf>
    <xf numFmtId="4" fontId="103" fillId="0" borderId="10" xfId="0" applyNumberFormat="1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4" fontId="99" fillId="0" borderId="0" xfId="0" applyNumberFormat="1" applyFont="1" applyAlignment="1">
      <alignment/>
    </xf>
    <xf numFmtId="49" fontId="104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49" fontId="105" fillId="0" borderId="0" xfId="0" applyNumberFormat="1" applyFont="1" applyFill="1" applyBorder="1" applyAlignment="1">
      <alignment vertical="top" wrapText="1"/>
    </xf>
    <xf numFmtId="4" fontId="105" fillId="0" borderId="0" xfId="0" applyNumberFormat="1" applyFont="1" applyFill="1" applyBorder="1" applyAlignment="1">
      <alignment horizontal="center" vertical="top" wrapText="1"/>
    </xf>
    <xf numFmtId="3" fontId="79" fillId="0" borderId="0" xfId="0" applyNumberFormat="1" applyFont="1" applyBorder="1" applyAlignment="1">
      <alignment/>
    </xf>
    <xf numFmtId="4" fontId="79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4" fontId="79" fillId="0" borderId="0" xfId="0" applyNumberFormat="1" applyFont="1" applyAlignment="1">
      <alignment/>
    </xf>
    <xf numFmtId="0" fontId="7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6" fillId="0" borderId="16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255" wrapText="1"/>
    </xf>
    <xf numFmtId="4" fontId="4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4" fontId="12" fillId="0" borderId="29" xfId="0" applyNumberFormat="1" applyFont="1" applyBorder="1" applyAlignment="1">
      <alignment horizontal="center" vertical="center" wrapText="1"/>
    </xf>
    <xf numFmtId="0" fontId="12" fillId="25" borderId="15" xfId="0" applyFont="1" applyFill="1" applyBorder="1" applyAlignment="1">
      <alignment horizontal="center" vertical="center" wrapText="1"/>
    </xf>
    <xf numFmtId="0" fontId="12" fillId="25" borderId="15" xfId="0" applyFont="1" applyFill="1" applyBorder="1" applyAlignment="1">
      <alignment horizontal="left" vertical="center" wrapText="1"/>
    </xf>
    <xf numFmtId="4" fontId="12" fillId="25" borderId="15" xfId="0" applyNumberFormat="1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left" vertical="center" wrapText="1"/>
    </xf>
    <xf numFmtId="4" fontId="12" fillId="25" borderId="10" xfId="0" applyNumberFormat="1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left" vertical="center" wrapText="1"/>
    </xf>
    <xf numFmtId="4" fontId="12" fillId="25" borderId="18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10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106" fillId="0" borderId="10" xfId="0" applyNumberFormat="1" applyFont="1" applyBorder="1" applyAlignment="1">
      <alignment horizontal="center" vertical="center" wrapText="1"/>
    </xf>
    <xf numFmtId="4" fontId="106" fillId="25" borderId="10" xfId="0" applyNumberFormat="1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left" vertical="center" wrapText="1"/>
    </xf>
    <xf numFmtId="4" fontId="108" fillId="0" borderId="10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45" fillId="0" borderId="21" xfId="0" applyFont="1" applyBorder="1" applyAlignment="1">
      <alignment wrapText="1"/>
    </xf>
    <xf numFmtId="4" fontId="109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25" borderId="10" xfId="0" applyFont="1" applyFill="1" applyBorder="1" applyAlignment="1">
      <alignment horizontal="left" vertical="center" wrapText="1"/>
    </xf>
    <xf numFmtId="4" fontId="108" fillId="25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>
      <alignment horizontal="center" vertical="center"/>
    </xf>
    <xf numFmtId="4" fontId="110" fillId="0" borderId="10" xfId="0" applyNumberFormat="1" applyFont="1" applyBorder="1" applyAlignment="1">
      <alignment horizontal="center" vertical="center"/>
    </xf>
    <xf numFmtId="4" fontId="106" fillId="0" borderId="21" xfId="0" applyNumberFormat="1" applyFont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left" vertical="center" wrapText="1"/>
    </xf>
    <xf numFmtId="4" fontId="106" fillId="0" borderId="29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4" fontId="109" fillId="0" borderId="21" xfId="0" applyNumberFormat="1" applyFont="1" applyBorder="1" applyAlignment="1">
      <alignment horizontal="center" vertical="center" wrapText="1"/>
    </xf>
    <xf numFmtId="4" fontId="108" fillId="0" borderId="2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justify" wrapText="1"/>
    </xf>
    <xf numFmtId="4" fontId="10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" fontId="52" fillId="25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" fontId="111" fillId="0" borderId="10" xfId="0" applyNumberFormat="1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/>
    </xf>
    <xf numFmtId="0" fontId="112" fillId="0" borderId="16" xfId="0" applyFont="1" applyFill="1" applyBorder="1" applyAlignment="1">
      <alignment horizontal="left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183" fontId="48" fillId="0" borderId="21" xfId="0" applyNumberFormat="1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left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0" fontId="72" fillId="25" borderId="10" xfId="0" applyFont="1" applyFill="1" applyBorder="1" applyAlignment="1">
      <alignment horizontal="left" vertical="center" wrapText="1"/>
    </xf>
    <xf numFmtId="0" fontId="72" fillId="25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left" vertical="center" wrapText="1"/>
    </xf>
    <xf numFmtId="0" fontId="112" fillId="0" borderId="26" xfId="0" applyFont="1" applyFill="1" applyBorder="1" applyAlignment="1">
      <alignment horizontal="left" vertical="center" wrapText="1"/>
    </xf>
    <xf numFmtId="183" fontId="72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47" fillId="0" borderId="28" xfId="0" applyFont="1" applyFill="1" applyBorder="1" applyAlignment="1">
      <alignment horizontal="left" vertical="center" wrapText="1"/>
    </xf>
    <xf numFmtId="0" fontId="72" fillId="0" borderId="26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/>
    </xf>
    <xf numFmtId="4" fontId="11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113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2" fillId="25" borderId="0" xfId="0" applyFont="1" applyFill="1" applyAlignment="1">
      <alignment horizontal="center" vertical="center" wrapText="1"/>
    </xf>
    <xf numFmtId="4" fontId="12" fillId="25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0" fontId="69" fillId="0" borderId="0" xfId="0" applyFont="1" applyAlignment="1">
      <alignment/>
    </xf>
    <xf numFmtId="49" fontId="114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49" fontId="8" fillId="22" borderId="10" xfId="0" applyNumberFormat="1" applyFont="1" applyFill="1" applyBorder="1" applyAlignment="1" applyProtection="1">
      <alignment vertical="top" wrapText="1"/>
      <protection locked="0"/>
    </xf>
    <xf numFmtId="0" fontId="12" fillId="0" borderId="10" xfId="0" applyNumberFormat="1" applyFont="1" applyBorder="1" applyAlignment="1" applyProtection="1">
      <alignment vertical="top" wrapText="1"/>
      <protection locked="0"/>
    </xf>
    <xf numFmtId="0" fontId="57" fillId="0" borderId="0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9" fillId="25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15" fillId="0" borderId="0" xfId="0" applyFont="1" applyBorder="1" applyAlignment="1" applyProtection="1">
      <alignment vertical="top" wrapText="1"/>
      <protection locked="0"/>
    </xf>
    <xf numFmtId="180" fontId="4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 applyProtection="1">
      <alignment vertical="top" wrapText="1"/>
      <protection locked="0"/>
    </xf>
    <xf numFmtId="49" fontId="8" fillId="22" borderId="10" xfId="0" applyNumberFormat="1" applyFont="1" applyFill="1" applyBorder="1" applyAlignment="1">
      <alignment vertical="top" wrapText="1"/>
    </xf>
    <xf numFmtId="0" fontId="116" fillId="22" borderId="10" xfId="0" applyFont="1" applyFill="1" applyBorder="1" applyAlignment="1">
      <alignment/>
    </xf>
    <xf numFmtId="49" fontId="71" fillId="22" borderId="10" xfId="0" applyNumberFormat="1" applyFont="1" applyFill="1" applyBorder="1" applyAlignment="1">
      <alignment horizontal="center" vertical="top" wrapText="1"/>
    </xf>
    <xf numFmtId="49" fontId="45" fillId="22" borderId="10" xfId="0" applyNumberFormat="1" applyFont="1" applyFill="1" applyBorder="1" applyAlignment="1">
      <alignment vertical="top" wrapText="1"/>
    </xf>
    <xf numFmtId="0" fontId="8" fillId="22" borderId="10" xfId="0" applyFont="1" applyFill="1" applyBorder="1" applyAlignment="1">
      <alignment/>
    </xf>
    <xf numFmtId="49" fontId="12" fillId="22" borderId="10" xfId="0" applyNumberFormat="1" applyFont="1" applyFill="1" applyBorder="1" applyAlignment="1">
      <alignment horizontal="center" vertical="top" wrapText="1"/>
    </xf>
    <xf numFmtId="49" fontId="45" fillId="22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55" fillId="0" borderId="0" xfId="0" applyNumberFormat="1" applyFont="1" applyFill="1" applyBorder="1" applyAlignment="1" applyProtection="1">
      <alignment horizontal="left" vertical="top" wrapText="1"/>
      <protection locked="0"/>
    </xf>
    <xf numFmtId="49" fontId="55" fillId="0" borderId="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255"/>
    </xf>
    <xf numFmtId="49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right" vertical="top"/>
    </xf>
    <xf numFmtId="0" fontId="87" fillId="0" borderId="32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49" fontId="88" fillId="0" borderId="33" xfId="0" applyNumberFormat="1" applyFont="1" applyFill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0" fontId="88" fillId="0" borderId="33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33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1" fontId="41" fillId="0" borderId="0" xfId="0" applyNumberFormat="1" applyFont="1" applyFill="1" applyBorder="1" applyAlignment="1">
      <alignment horizontal="center" vertical="top" wrapText="1"/>
    </xf>
    <xf numFmtId="44" fontId="55" fillId="0" borderId="0" xfId="44" applyFont="1" applyFill="1" applyBorder="1" applyAlignment="1" applyProtection="1">
      <alignment horizontal="left" vertical="top" wrapText="1"/>
      <protection locked="0"/>
    </xf>
    <xf numFmtId="0" fontId="9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8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3" fontId="117" fillId="22" borderId="0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ДОД4-2003" xfId="55"/>
    <cellStyle name="Обычный_Пропозиції _17.08.200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609725"/>
          <a:ext cx="1158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771650" y="0"/>
          <a:ext cx="790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71650" y="0"/>
          <a:ext cx="790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819150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771650" y="323850"/>
          <a:ext cx="790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0</xdr:rowOff>
    </xdr:from>
    <xdr:to>
      <xdr:col>9</xdr:col>
      <xdr:colOff>276225</xdr:colOff>
      <xdr:row>2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390775" y="323850"/>
          <a:ext cx="908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1457325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 descr="TRUZ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38150" y="0"/>
          <a:ext cx="5848350" cy="0"/>
        </a:xfrm>
        <a:prstGeom prst="line">
          <a:avLst/>
        </a:prstGeom>
        <a:noFill/>
        <a:ln w="349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 descr="TRUZ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 descr="TRUZ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4;&#1073;&#1084;&#1110;&#1085;\&#1057;&#1072;&#1081;&#1090;\15-31.01.2013-&#1087;&#1086;&#1079;&#1072;&#1095;&#1077;&#1088;&#1075;&#1086;&#1074;&#1072;\847%20&#1041;&#1102;&#1076;&#1078;&#1077;&#1090;%202013%20&#1047;&#1052;&#1030;&#1053;&#1048;\&#1044;&#1086;&#1076;&#1072;&#1090;&#1082;&#1080;\&#1044;&#1086;&#1076;&#1072;&#1090;&#1082;&#1080;%202,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77;&#1089;&#1110;&#1103;%2031.01.2013\&#1044;&#1054;&#1044;&#1040;&#1058;&#1050;&#1048;%20%2031.01.2013\&#1044;&#1086;&#1076;&#1072;&#1090;&#1086;&#1082;%201%20&#1076;&#1086;%20&#1088;&#1110;&#1096;&#1077;&#1085;&#1085;&#110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3"/>
      <sheetName val="додаток 2"/>
    </sheetNames>
    <sheetDataSet>
      <sheetData sheetId="0">
        <row r="15">
          <cell r="C15">
            <v>34000</v>
          </cell>
        </row>
        <row r="19">
          <cell r="C19">
            <v>30000</v>
          </cell>
        </row>
        <row r="22">
          <cell r="C22">
            <v>67000</v>
          </cell>
        </row>
        <row r="23">
          <cell r="C23">
            <v>67000</v>
          </cell>
        </row>
        <row r="25">
          <cell r="C25">
            <v>3529</v>
          </cell>
        </row>
        <row r="29">
          <cell r="C29">
            <v>23100</v>
          </cell>
        </row>
        <row r="32">
          <cell r="C32">
            <v>216012.92</v>
          </cell>
          <cell r="F32">
            <v>28808.2</v>
          </cell>
          <cell r="J32">
            <v>28808.2</v>
          </cell>
          <cell r="K32">
            <v>28808.2</v>
          </cell>
        </row>
        <row r="33">
          <cell r="C33">
            <v>200194.22</v>
          </cell>
          <cell r="F33">
            <v>48000</v>
          </cell>
          <cell r="J33">
            <v>48000</v>
          </cell>
          <cell r="K33">
            <v>48000</v>
          </cell>
        </row>
        <row r="34">
          <cell r="C34">
            <v>35153.63</v>
          </cell>
          <cell r="F34">
            <v>158924.56</v>
          </cell>
          <cell r="J34">
            <v>158924.56</v>
          </cell>
          <cell r="K34">
            <v>158924.56</v>
          </cell>
        </row>
        <row r="35">
          <cell r="C35">
            <v>460770.25</v>
          </cell>
          <cell r="F35">
            <v>750701.22</v>
          </cell>
          <cell r="J35">
            <v>750701.22</v>
          </cell>
          <cell r="K35">
            <v>750701.22</v>
          </cell>
        </row>
        <row r="36">
          <cell r="C36">
            <v>451816.8</v>
          </cell>
          <cell r="F36">
            <v>36203</v>
          </cell>
          <cell r="J36">
            <v>36203</v>
          </cell>
          <cell r="K36">
            <v>36203</v>
          </cell>
        </row>
        <row r="37">
          <cell r="C37">
            <v>143595.41</v>
          </cell>
          <cell r="F37">
            <v>0</v>
          </cell>
          <cell r="J37">
            <v>0</v>
          </cell>
        </row>
        <row r="38">
          <cell r="C38">
            <v>253577.82</v>
          </cell>
          <cell r="F38">
            <v>1236451.27</v>
          </cell>
          <cell r="J38">
            <v>1236451.27</v>
          </cell>
          <cell r="K38">
            <v>1236451.27</v>
          </cell>
        </row>
        <row r="39">
          <cell r="C39">
            <v>145924.28</v>
          </cell>
          <cell r="F39">
            <v>6485</v>
          </cell>
          <cell r="J39">
            <v>6485</v>
          </cell>
          <cell r="K39">
            <v>6485</v>
          </cell>
        </row>
        <row r="40">
          <cell r="C40">
            <v>30118.99</v>
          </cell>
          <cell r="F40">
            <v>0</v>
          </cell>
          <cell r="J40">
            <v>0</v>
          </cell>
        </row>
        <row r="41">
          <cell r="C41">
            <v>30118.99</v>
          </cell>
          <cell r="F41">
            <v>0</v>
          </cell>
          <cell r="J41">
            <v>0</v>
          </cell>
        </row>
        <row r="42">
          <cell r="C42">
            <v>64925.01</v>
          </cell>
          <cell r="F42">
            <v>0</v>
          </cell>
          <cell r="J42">
            <v>0</v>
          </cell>
        </row>
        <row r="43">
          <cell r="C43">
            <v>7889.87</v>
          </cell>
          <cell r="F43">
            <v>0</v>
          </cell>
          <cell r="J43">
            <v>0</v>
          </cell>
        </row>
        <row r="44">
          <cell r="C44">
            <v>5928</v>
          </cell>
          <cell r="D44">
            <v>0</v>
          </cell>
          <cell r="E44">
            <v>0</v>
          </cell>
          <cell r="F44">
            <v>15000</v>
          </cell>
          <cell r="G44">
            <v>0</v>
          </cell>
          <cell r="H44">
            <v>0</v>
          </cell>
          <cell r="I44">
            <v>0</v>
          </cell>
          <cell r="J44">
            <v>15000</v>
          </cell>
          <cell r="K44">
            <v>15000</v>
          </cell>
          <cell r="L44">
            <v>0</v>
          </cell>
        </row>
        <row r="45">
          <cell r="C45">
            <v>5928</v>
          </cell>
          <cell r="F45">
            <v>15000</v>
          </cell>
          <cell r="J45">
            <v>15000</v>
          </cell>
          <cell r="K45">
            <v>15000</v>
          </cell>
        </row>
        <row r="47">
          <cell r="C47">
            <v>1000</v>
          </cell>
          <cell r="F47">
            <v>0</v>
          </cell>
          <cell r="J47">
            <v>0</v>
          </cell>
        </row>
        <row r="48">
          <cell r="C48">
            <v>11386.9</v>
          </cell>
          <cell r="F48">
            <v>7500</v>
          </cell>
          <cell r="J48">
            <v>7500</v>
          </cell>
          <cell r="K48">
            <v>7500</v>
          </cell>
        </row>
        <row r="51">
          <cell r="C51">
            <v>8750.86</v>
          </cell>
        </row>
        <row r="52">
          <cell r="C52">
            <v>27335.1</v>
          </cell>
        </row>
        <row r="53">
          <cell r="C53">
            <v>19920.49</v>
          </cell>
        </row>
        <row r="54">
          <cell r="C54">
            <v>18732.49</v>
          </cell>
        </row>
        <row r="55">
          <cell r="C55">
            <v>1188</v>
          </cell>
        </row>
        <row r="56">
          <cell r="C56">
            <v>3523.5</v>
          </cell>
        </row>
        <row r="57">
          <cell r="C57">
            <v>453.5</v>
          </cell>
        </row>
        <row r="58">
          <cell r="C58">
            <v>3070</v>
          </cell>
        </row>
        <row r="59">
          <cell r="C59">
            <v>2000</v>
          </cell>
        </row>
        <row r="62">
          <cell r="C62">
            <v>33911.41</v>
          </cell>
          <cell r="F62">
            <v>137724</v>
          </cell>
          <cell r="J62">
            <v>137724</v>
          </cell>
          <cell r="K62">
            <v>137724</v>
          </cell>
        </row>
        <row r="63">
          <cell r="C63">
            <v>180180.4</v>
          </cell>
        </row>
        <row r="64">
          <cell r="C64">
            <v>8411.58</v>
          </cell>
        </row>
        <row r="65">
          <cell r="C65">
            <v>74343.03</v>
          </cell>
        </row>
        <row r="68">
          <cell r="C68">
            <v>158443.9</v>
          </cell>
          <cell r="F68">
            <v>117809.62</v>
          </cell>
          <cell r="J68">
            <v>117809.62</v>
          </cell>
          <cell r="K68">
            <v>117809.62</v>
          </cell>
        </row>
        <row r="69">
          <cell r="C69">
            <v>14782.37</v>
          </cell>
          <cell r="F69">
            <v>0</v>
          </cell>
        </row>
        <row r="70">
          <cell r="C70">
            <v>502.15</v>
          </cell>
          <cell r="F70">
            <v>0</v>
          </cell>
        </row>
        <row r="72">
          <cell r="C72">
            <v>130269.43</v>
          </cell>
          <cell r="F72">
            <v>0</v>
          </cell>
        </row>
        <row r="73">
          <cell r="C73">
            <v>157878.1</v>
          </cell>
          <cell r="F73">
            <v>3900</v>
          </cell>
          <cell r="J73">
            <v>3900</v>
          </cell>
          <cell r="K73">
            <v>3900</v>
          </cell>
        </row>
        <row r="74">
          <cell r="C74">
            <v>24586.05</v>
          </cell>
          <cell r="F74">
            <v>0</v>
          </cell>
        </row>
        <row r="75">
          <cell r="C75">
            <v>47883.95</v>
          </cell>
          <cell r="F75">
            <v>0</v>
          </cell>
        </row>
        <row r="76">
          <cell r="C76">
            <v>6664.61</v>
          </cell>
          <cell r="F76">
            <v>0</v>
          </cell>
        </row>
        <row r="77">
          <cell r="C77">
            <v>10666.2</v>
          </cell>
          <cell r="F77">
            <v>0</v>
          </cell>
        </row>
        <row r="78">
          <cell r="C78">
            <v>8879.57</v>
          </cell>
        </row>
        <row r="79">
          <cell r="C79">
            <v>5291.8</v>
          </cell>
        </row>
        <row r="80">
          <cell r="C80">
            <v>42468.15</v>
          </cell>
        </row>
        <row r="81">
          <cell r="C81">
            <v>15322.37</v>
          </cell>
        </row>
        <row r="82">
          <cell r="C82">
            <v>1083.03</v>
          </cell>
        </row>
        <row r="83">
          <cell r="C83">
            <v>4041.39</v>
          </cell>
        </row>
        <row r="84">
          <cell r="C84">
            <v>2607</v>
          </cell>
        </row>
        <row r="85">
          <cell r="C85">
            <v>5111.3</v>
          </cell>
        </row>
        <row r="86">
          <cell r="C86">
            <v>2479.65</v>
          </cell>
        </row>
        <row r="87">
          <cell r="C87">
            <v>2271.57</v>
          </cell>
        </row>
        <row r="89">
          <cell r="C89">
            <v>7000</v>
          </cell>
        </row>
        <row r="91">
          <cell r="F91">
            <v>48300</v>
          </cell>
          <cell r="J91">
            <v>48300</v>
          </cell>
          <cell r="K91">
            <v>48300</v>
          </cell>
        </row>
        <row r="94">
          <cell r="C94">
            <v>29600.86</v>
          </cell>
        </row>
        <row r="95">
          <cell r="C95">
            <v>371105.44</v>
          </cell>
        </row>
        <row r="96">
          <cell r="C96">
            <v>2325394.8</v>
          </cell>
          <cell r="D96">
            <v>526700</v>
          </cell>
          <cell r="E96">
            <v>178000</v>
          </cell>
        </row>
        <row r="97">
          <cell r="C97">
            <v>49039.39</v>
          </cell>
        </row>
        <row r="98">
          <cell r="C98">
            <v>5384</v>
          </cell>
        </row>
        <row r="101">
          <cell r="C101">
            <v>25895.75</v>
          </cell>
        </row>
        <row r="104">
          <cell r="F104">
            <v>140000</v>
          </cell>
          <cell r="J104">
            <v>140000</v>
          </cell>
          <cell r="K104">
            <v>140000</v>
          </cell>
        </row>
        <row r="105">
          <cell r="C105">
            <v>202619.4</v>
          </cell>
          <cell r="F105">
            <v>21674.92</v>
          </cell>
          <cell r="J105">
            <v>21674.92</v>
          </cell>
          <cell r="K105">
            <v>21674.92</v>
          </cell>
        </row>
        <row r="106">
          <cell r="C106">
            <v>212875.14</v>
          </cell>
          <cell r="F106">
            <v>0</v>
          </cell>
        </row>
        <row r="107">
          <cell r="C107">
            <v>39627.21</v>
          </cell>
          <cell r="F107">
            <v>0</v>
          </cell>
        </row>
        <row r="108">
          <cell r="C108">
            <v>41243.48</v>
          </cell>
          <cell r="F108">
            <v>0</v>
          </cell>
        </row>
        <row r="109">
          <cell r="C109">
            <v>10416.14</v>
          </cell>
          <cell r="F109">
            <v>0</v>
          </cell>
        </row>
        <row r="112">
          <cell r="C112">
            <v>20000</v>
          </cell>
        </row>
        <row r="115">
          <cell r="F115">
            <v>14126080.280000001</v>
          </cell>
          <cell r="J115">
            <v>14126080.280000001</v>
          </cell>
          <cell r="K115">
            <v>14126080.280000001</v>
          </cell>
          <cell r="L115">
            <v>3000000</v>
          </cell>
        </row>
        <row r="116">
          <cell r="F116">
            <v>3000000</v>
          </cell>
          <cell r="J116">
            <v>3000000</v>
          </cell>
          <cell r="K116">
            <v>3000000</v>
          </cell>
          <cell r="L116">
            <v>3000000</v>
          </cell>
        </row>
        <row r="117">
          <cell r="F117">
            <v>676064.6</v>
          </cell>
          <cell r="J117">
            <v>676064.6</v>
          </cell>
          <cell r="K117">
            <v>676064.6</v>
          </cell>
        </row>
        <row r="118">
          <cell r="F118">
            <v>200000</v>
          </cell>
          <cell r="J118">
            <v>200000</v>
          </cell>
          <cell r="K118">
            <v>200000</v>
          </cell>
        </row>
        <row r="120">
          <cell r="F120">
            <v>35253545.28</v>
          </cell>
          <cell r="G120">
            <v>23072841.259999998</v>
          </cell>
          <cell r="J120">
            <v>12180704.02</v>
          </cell>
        </row>
        <row r="121">
          <cell r="F121">
            <v>10416687.58</v>
          </cell>
          <cell r="G121">
            <v>1395386</v>
          </cell>
          <cell r="J121">
            <v>9021301.58</v>
          </cell>
        </row>
        <row r="122">
          <cell r="F122">
            <v>1548720</v>
          </cell>
          <cell r="G122">
            <v>77820</v>
          </cell>
          <cell r="J122">
            <v>1470900</v>
          </cell>
        </row>
        <row r="123">
          <cell r="F123">
            <v>769286</v>
          </cell>
          <cell r="G123">
            <v>282130</v>
          </cell>
          <cell r="J123">
            <v>487156</v>
          </cell>
        </row>
        <row r="125">
          <cell r="F125">
            <v>2952209.94</v>
          </cell>
          <cell r="J125">
            <v>2952209.94</v>
          </cell>
        </row>
        <row r="126">
          <cell r="F126">
            <v>600000</v>
          </cell>
          <cell r="J126">
            <v>600000</v>
          </cell>
        </row>
        <row r="127">
          <cell r="F127">
            <v>612510</v>
          </cell>
          <cell r="J127">
            <v>612510</v>
          </cell>
        </row>
        <row r="130">
          <cell r="F130">
            <v>547990.14</v>
          </cell>
          <cell r="G130">
            <v>547990.14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34000</v>
          </cell>
          <cell r="G133">
            <v>0</v>
          </cell>
          <cell r="H133">
            <v>0</v>
          </cell>
          <cell r="I133">
            <v>0</v>
          </cell>
          <cell r="J133">
            <v>34000</v>
          </cell>
          <cell r="K133">
            <v>34000</v>
          </cell>
          <cell r="L133">
            <v>0</v>
          </cell>
        </row>
        <row r="134">
          <cell r="F134">
            <v>34000</v>
          </cell>
          <cell r="J134">
            <v>34000</v>
          </cell>
          <cell r="K134">
            <v>34000</v>
          </cell>
        </row>
        <row r="137">
          <cell r="C137">
            <v>17989.67</v>
          </cell>
        </row>
        <row r="138">
          <cell r="C138">
            <v>17989.67</v>
          </cell>
        </row>
        <row r="140">
          <cell r="C140">
            <v>7000</v>
          </cell>
        </row>
        <row r="142">
          <cell r="F142">
            <v>46301.5</v>
          </cell>
          <cell r="G142">
            <v>46301.5</v>
          </cell>
        </row>
        <row r="143">
          <cell r="F143">
            <v>240000</v>
          </cell>
          <cell r="G143">
            <v>240000</v>
          </cell>
        </row>
        <row r="148">
          <cell r="F148">
            <v>552792.88</v>
          </cell>
          <cell r="G148">
            <v>156238</v>
          </cell>
          <cell r="J148">
            <v>396554.88</v>
          </cell>
          <cell r="K148">
            <v>396554.88</v>
          </cell>
        </row>
        <row r="149">
          <cell r="F149">
            <v>496961.1</v>
          </cell>
          <cell r="J149">
            <v>496961.1</v>
          </cell>
          <cell r="K149">
            <v>496961.1</v>
          </cell>
        </row>
        <row r="152">
          <cell r="C152">
            <v>16600</v>
          </cell>
          <cell r="F152">
            <v>37000</v>
          </cell>
          <cell r="J152">
            <v>37000</v>
          </cell>
          <cell r="K152">
            <v>37000</v>
          </cell>
        </row>
        <row r="153">
          <cell r="C153">
            <v>6550000.97</v>
          </cell>
          <cell r="D153">
            <v>526700</v>
          </cell>
          <cell r="E153">
            <v>178000</v>
          </cell>
          <cell r="F153">
            <v>58256872.91</v>
          </cell>
          <cell r="G153">
            <v>24063370.9</v>
          </cell>
          <cell r="H153">
            <v>0</v>
          </cell>
          <cell r="I153">
            <v>0</v>
          </cell>
          <cell r="J153">
            <v>34193502.01</v>
          </cell>
          <cell r="K153">
            <v>17848078.05</v>
          </cell>
          <cell r="L153">
            <v>3000000</v>
          </cell>
          <cell r="M153">
            <v>64806873.88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 (2)"/>
    </sheetNames>
    <sheetDataSet>
      <sheetData sheetId="0">
        <row r="18">
          <cell r="C18">
            <v>2275800</v>
          </cell>
        </row>
        <row r="40">
          <cell r="C40">
            <v>5320800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0"/>
  <sheetViews>
    <sheetView view="pageBreakPreview" zoomScaleSheetLayoutView="100" zoomScalePageLayoutView="0" workbookViewId="0" topLeftCell="A1">
      <selection activeCell="B16" sqref="B16"/>
    </sheetView>
  </sheetViews>
  <sheetFormatPr defaultColWidth="9.33203125" defaultRowHeight="12.75"/>
  <cols>
    <col min="1" max="1" width="13.83203125" style="19" customWidth="1"/>
    <col min="2" max="2" width="57.33203125" style="20" customWidth="1"/>
    <col min="3" max="3" width="20.33203125" style="4" customWidth="1"/>
    <col min="4" max="4" width="19.16015625" style="4" customWidth="1"/>
    <col min="5" max="5" width="18.66015625" style="4" customWidth="1"/>
    <col min="6" max="6" width="22" style="4" customWidth="1"/>
    <col min="7" max="16384" width="9.33203125" style="4" customWidth="1"/>
  </cols>
  <sheetData>
    <row r="1" spans="1:15" ht="16.5">
      <c r="A1" s="1"/>
      <c r="B1" s="2"/>
      <c r="D1" s="56" t="s">
        <v>376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>
      <c r="A2" s="1"/>
      <c r="B2" s="2"/>
      <c r="D2" s="55" t="s">
        <v>377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>
      <c r="A3" s="1"/>
      <c r="B3" s="2"/>
      <c r="D3" s="55" t="s">
        <v>411</v>
      </c>
      <c r="E3" s="3"/>
      <c r="F3" s="5"/>
      <c r="G3" s="3"/>
      <c r="H3" s="3"/>
      <c r="I3" s="3"/>
      <c r="J3" s="3"/>
      <c r="K3" s="3"/>
      <c r="L3" s="3"/>
      <c r="M3" s="3"/>
      <c r="N3" s="3"/>
      <c r="O3" s="3"/>
    </row>
    <row r="4" spans="1:15" ht="32.25" customHeight="1">
      <c r="A4" s="601" t="s">
        <v>405</v>
      </c>
      <c r="B4" s="601"/>
      <c r="C4" s="601"/>
      <c r="D4" s="601"/>
      <c r="E4" s="601"/>
      <c r="F4" s="601"/>
      <c r="G4" s="3"/>
      <c r="H4" s="3"/>
      <c r="I4" s="3"/>
      <c r="J4" s="3"/>
      <c r="K4" s="3"/>
      <c r="L4" s="3"/>
      <c r="M4" s="3"/>
      <c r="N4" s="3"/>
      <c r="O4" s="3"/>
    </row>
    <row r="5" spans="1:15" ht="12.75" customHeight="1">
      <c r="A5" s="1"/>
      <c r="B5" s="2"/>
      <c r="C5" s="3"/>
      <c r="D5" s="3"/>
      <c r="E5" s="3"/>
      <c r="F5" s="5" t="s">
        <v>362</v>
      </c>
      <c r="G5" s="3"/>
      <c r="H5" s="3"/>
      <c r="I5" s="3"/>
      <c r="J5" s="3"/>
      <c r="K5" s="3"/>
      <c r="L5" s="3"/>
      <c r="M5" s="3"/>
      <c r="N5" s="3"/>
      <c r="O5" s="3"/>
    </row>
    <row r="6" spans="1:15" ht="24" customHeight="1">
      <c r="A6" s="602" t="s">
        <v>363</v>
      </c>
      <c r="B6" s="603" t="s">
        <v>364</v>
      </c>
      <c r="C6" s="603" t="s">
        <v>365</v>
      </c>
      <c r="D6" s="599" t="s">
        <v>366</v>
      </c>
      <c r="E6" s="599"/>
      <c r="F6" s="604" t="s">
        <v>367</v>
      </c>
      <c r="G6" s="3"/>
      <c r="H6" s="3"/>
      <c r="I6" s="3"/>
      <c r="J6" s="3"/>
      <c r="K6" s="3"/>
      <c r="L6" s="3"/>
      <c r="M6" s="3"/>
      <c r="N6" s="3"/>
      <c r="O6" s="3"/>
    </row>
    <row r="7" spans="1:15" ht="66.75" customHeight="1">
      <c r="A7" s="602"/>
      <c r="B7" s="603"/>
      <c r="C7" s="603"/>
      <c r="D7" s="47" t="s">
        <v>367</v>
      </c>
      <c r="E7" s="48" t="s">
        <v>368</v>
      </c>
      <c r="F7" s="604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49">
        <v>1</v>
      </c>
      <c r="B8" s="50">
        <v>2</v>
      </c>
      <c r="C8" s="49">
        <v>3</v>
      </c>
      <c r="D8" s="49">
        <v>4</v>
      </c>
      <c r="E8" s="49">
        <v>5</v>
      </c>
      <c r="F8" s="49" t="s">
        <v>369</v>
      </c>
      <c r="G8" s="3"/>
      <c r="H8" s="3"/>
      <c r="I8" s="3"/>
      <c r="J8" s="3"/>
      <c r="K8" s="3"/>
      <c r="L8" s="3"/>
      <c r="M8" s="3"/>
      <c r="N8" s="3"/>
      <c r="O8" s="3"/>
    </row>
    <row r="9" spans="1:15" ht="16.5">
      <c r="A9" s="51">
        <v>40000000</v>
      </c>
      <c r="B9" s="7" t="s">
        <v>374</v>
      </c>
      <c r="C9" s="59">
        <f aca="true" t="shared" si="0" ref="C9:E10">C10</f>
        <v>5320800</v>
      </c>
      <c r="D9" s="59">
        <f t="shared" si="0"/>
        <v>2518006</v>
      </c>
      <c r="E9" s="59">
        <f t="shared" si="0"/>
        <v>200000</v>
      </c>
      <c r="F9" s="60">
        <f>SUM(D9,C9)</f>
        <v>7838806</v>
      </c>
      <c r="G9" s="6"/>
      <c r="H9" s="6"/>
      <c r="I9" s="6"/>
      <c r="J9" s="6"/>
      <c r="K9" s="6"/>
      <c r="L9" s="6"/>
      <c r="M9" s="6"/>
      <c r="N9" s="3"/>
      <c r="O9" s="3"/>
    </row>
    <row r="10" spans="1:15" ht="18.75" customHeight="1">
      <c r="A10" s="51">
        <v>41000000</v>
      </c>
      <c r="B10" s="7" t="s">
        <v>370</v>
      </c>
      <c r="C10" s="59">
        <f t="shared" si="0"/>
        <v>5320800</v>
      </c>
      <c r="D10" s="59">
        <f t="shared" si="0"/>
        <v>2518006</v>
      </c>
      <c r="E10" s="59">
        <f t="shared" si="0"/>
        <v>200000</v>
      </c>
      <c r="F10" s="60">
        <f>SUM(D10,C10)</f>
        <v>7838806</v>
      </c>
      <c r="G10" s="6"/>
      <c r="H10" s="6"/>
      <c r="I10" s="6"/>
      <c r="J10" s="6"/>
      <c r="K10" s="6"/>
      <c r="L10" s="6"/>
      <c r="M10" s="6"/>
      <c r="N10" s="3"/>
      <c r="O10" s="3"/>
    </row>
    <row r="11" spans="1:15" s="10" customFormat="1" ht="16.5">
      <c r="A11" s="52">
        <v>41030000</v>
      </c>
      <c r="B11" s="46" t="s">
        <v>371</v>
      </c>
      <c r="C11" s="61">
        <f>C16+C17+C38+C12</f>
        <v>5320800</v>
      </c>
      <c r="D11" s="61">
        <f>D16+D17+D38+D12</f>
        <v>2518006</v>
      </c>
      <c r="E11" s="61">
        <f>E16+E17+E38+E12</f>
        <v>200000</v>
      </c>
      <c r="F11" s="60">
        <f>SUM(D11,C11)</f>
        <v>7838806</v>
      </c>
      <c r="G11" s="8"/>
      <c r="H11" s="8"/>
      <c r="I11" s="8"/>
      <c r="J11" s="8"/>
      <c r="K11" s="8"/>
      <c r="L11" s="8"/>
      <c r="M11" s="8"/>
      <c r="N11" s="9"/>
      <c r="O11" s="9"/>
    </row>
    <row r="12" spans="1:15" s="10" customFormat="1" ht="63">
      <c r="A12" s="69">
        <v>41034300</v>
      </c>
      <c r="B12" s="70" t="s">
        <v>406</v>
      </c>
      <c r="C12" s="65">
        <f>C14+C13</f>
        <v>0</v>
      </c>
      <c r="D12" s="65">
        <f>D14+D13</f>
        <v>2318006</v>
      </c>
      <c r="E12" s="65">
        <f>E14+E13</f>
        <v>0</v>
      </c>
      <c r="F12" s="60">
        <f aca="true" t="shared" si="1" ref="F12:F39">SUM(D12,C12)</f>
        <v>2318006</v>
      </c>
      <c r="G12" s="8"/>
      <c r="H12" s="8"/>
      <c r="I12" s="8"/>
      <c r="J12" s="8"/>
      <c r="K12" s="8"/>
      <c r="L12" s="8"/>
      <c r="M12" s="8"/>
      <c r="N12" s="9"/>
      <c r="O12" s="9"/>
    </row>
    <row r="13" spans="1:15" s="10" customFormat="1" ht="16.5">
      <c r="A13" s="71" t="s">
        <v>380</v>
      </c>
      <c r="B13" s="58" t="s">
        <v>408</v>
      </c>
      <c r="C13" s="65"/>
      <c r="D13" s="65">
        <v>1548720</v>
      </c>
      <c r="E13" s="65"/>
      <c r="F13" s="60">
        <f t="shared" si="1"/>
        <v>1548720</v>
      </c>
      <c r="G13" s="8"/>
      <c r="H13" s="8"/>
      <c r="I13" s="8"/>
      <c r="J13" s="8"/>
      <c r="K13" s="8"/>
      <c r="L13" s="8"/>
      <c r="M13" s="8"/>
      <c r="N13" s="9"/>
      <c r="O13" s="9"/>
    </row>
    <row r="14" spans="1:15" s="10" customFormat="1" ht="16.5">
      <c r="A14" s="71"/>
      <c r="B14" s="58" t="s">
        <v>407</v>
      </c>
      <c r="C14" s="61"/>
      <c r="D14" s="65">
        <f>573800+195486</f>
        <v>769286</v>
      </c>
      <c r="E14" s="61"/>
      <c r="F14" s="60">
        <f t="shared" si="1"/>
        <v>769286</v>
      </c>
      <c r="G14" s="8"/>
      <c r="H14" s="8"/>
      <c r="I14" s="8"/>
      <c r="J14" s="8"/>
      <c r="K14" s="8"/>
      <c r="L14" s="8"/>
      <c r="M14" s="8"/>
      <c r="N14" s="9"/>
      <c r="O14" s="9"/>
    </row>
    <row r="15" spans="1:15" s="10" customFormat="1" ht="52.5" customHeight="1">
      <c r="A15" s="57" t="s">
        <v>402</v>
      </c>
      <c r="B15" s="58" t="s">
        <v>403</v>
      </c>
      <c r="C15" s="65">
        <f>C16</f>
        <v>3000000</v>
      </c>
      <c r="D15" s="61"/>
      <c r="E15" s="61"/>
      <c r="F15" s="60">
        <f t="shared" si="1"/>
        <v>3000000</v>
      </c>
      <c r="G15" s="8"/>
      <c r="H15" s="8"/>
      <c r="I15" s="8"/>
      <c r="J15" s="8"/>
      <c r="K15" s="8"/>
      <c r="L15" s="8"/>
      <c r="M15" s="8"/>
      <c r="N15" s="9"/>
      <c r="O15" s="9"/>
    </row>
    <row r="16" spans="1:15" s="10" customFormat="1" ht="16.5">
      <c r="A16" s="57" t="s">
        <v>380</v>
      </c>
      <c r="B16" s="58" t="s">
        <v>404</v>
      </c>
      <c r="C16" s="65">
        <v>3000000</v>
      </c>
      <c r="D16" s="61"/>
      <c r="E16" s="61"/>
      <c r="F16" s="60">
        <f t="shared" si="1"/>
        <v>3000000</v>
      </c>
      <c r="G16" s="8"/>
      <c r="H16" s="8"/>
      <c r="I16" s="8"/>
      <c r="J16" s="8"/>
      <c r="K16" s="8"/>
      <c r="L16" s="8"/>
      <c r="M16" s="8"/>
      <c r="N16" s="9"/>
      <c r="O16" s="9"/>
    </row>
    <row r="17" spans="1:15" s="10" customFormat="1" ht="18.75" customHeight="1">
      <c r="A17" s="57" t="s">
        <v>379</v>
      </c>
      <c r="B17" s="58" t="s">
        <v>378</v>
      </c>
      <c r="C17" s="65">
        <f>C18+C37</f>
        <v>2275800</v>
      </c>
      <c r="D17" s="65">
        <f>D18+D37</f>
        <v>200000</v>
      </c>
      <c r="E17" s="65">
        <f>E18+E37</f>
        <v>200000</v>
      </c>
      <c r="F17" s="60">
        <f t="shared" si="1"/>
        <v>2475800</v>
      </c>
      <c r="G17" s="8"/>
      <c r="H17" s="8"/>
      <c r="I17" s="8"/>
      <c r="J17" s="8"/>
      <c r="K17" s="8"/>
      <c r="L17" s="8"/>
      <c r="M17" s="8"/>
      <c r="N17" s="9"/>
      <c r="O17" s="9"/>
    </row>
    <row r="18" spans="1:15" s="10" customFormat="1" ht="63">
      <c r="A18" s="57" t="s">
        <v>380</v>
      </c>
      <c r="B18" s="58" t="s">
        <v>398</v>
      </c>
      <c r="C18" s="65">
        <f>C19+C20+C21+C22+C23+C24+C25+C27+C26+C28+C29+C30+C31+C33+C32+C34+C35+C36</f>
        <v>2275800</v>
      </c>
      <c r="D18" s="65">
        <f>D19+D20+D21+D22+D23+D24+D25+D27+D26+D28+D29+D30+D31+D33+D32+D34+D35+D36</f>
        <v>0</v>
      </c>
      <c r="E18" s="65">
        <f>E19+E20+E21+E22+E23+E24+E25+E27+E26+E28+E29+E30+E31+E33+E32+E34+E35+E36</f>
        <v>0</v>
      </c>
      <c r="F18" s="60">
        <f t="shared" si="1"/>
        <v>2275800</v>
      </c>
      <c r="G18" s="8"/>
      <c r="H18" s="8"/>
      <c r="I18" s="8"/>
      <c r="J18" s="8"/>
      <c r="K18" s="8"/>
      <c r="L18" s="8"/>
      <c r="M18" s="8"/>
      <c r="N18" s="9"/>
      <c r="O18" s="9"/>
    </row>
    <row r="19" spans="1:15" s="10" customFormat="1" ht="14.25" customHeight="1">
      <c r="A19" s="57"/>
      <c r="B19" s="58" t="s">
        <v>381</v>
      </c>
      <c r="C19" s="65">
        <v>122700</v>
      </c>
      <c r="D19" s="65"/>
      <c r="E19" s="61"/>
      <c r="F19" s="60">
        <f t="shared" si="1"/>
        <v>122700</v>
      </c>
      <c r="G19" s="8"/>
      <c r="H19" s="8"/>
      <c r="I19" s="8"/>
      <c r="J19" s="8"/>
      <c r="K19" s="8"/>
      <c r="L19" s="8"/>
      <c r="M19" s="8"/>
      <c r="N19" s="9"/>
      <c r="O19" s="9"/>
    </row>
    <row r="20" spans="1:15" s="10" customFormat="1" ht="14.25" customHeight="1">
      <c r="A20" s="57"/>
      <c r="B20" s="58" t="s">
        <v>382</v>
      </c>
      <c r="C20" s="65">
        <v>27300</v>
      </c>
      <c r="D20" s="65"/>
      <c r="E20" s="61"/>
      <c r="F20" s="60">
        <f t="shared" si="1"/>
        <v>27300</v>
      </c>
      <c r="G20" s="8"/>
      <c r="H20" s="8"/>
      <c r="I20" s="8"/>
      <c r="J20" s="8"/>
      <c r="K20" s="8"/>
      <c r="L20" s="8"/>
      <c r="M20" s="8"/>
      <c r="N20" s="9"/>
      <c r="O20" s="9"/>
    </row>
    <row r="21" spans="1:15" s="10" customFormat="1" ht="14.25" customHeight="1">
      <c r="A21" s="57"/>
      <c r="B21" s="58" t="s">
        <v>383</v>
      </c>
      <c r="C21" s="65">
        <v>86000</v>
      </c>
      <c r="D21" s="65"/>
      <c r="E21" s="61"/>
      <c r="F21" s="60">
        <f t="shared" si="1"/>
        <v>86000</v>
      </c>
      <c r="G21" s="8"/>
      <c r="H21" s="8"/>
      <c r="I21" s="8"/>
      <c r="J21" s="8"/>
      <c r="K21" s="8"/>
      <c r="L21" s="8"/>
      <c r="M21" s="8"/>
      <c r="N21" s="9"/>
      <c r="O21" s="9"/>
    </row>
    <row r="22" spans="1:15" s="10" customFormat="1" ht="14.25" customHeight="1">
      <c r="A22" s="57"/>
      <c r="B22" s="58" t="s">
        <v>384</v>
      </c>
      <c r="C22" s="65">
        <v>37300</v>
      </c>
      <c r="D22" s="65"/>
      <c r="E22" s="61"/>
      <c r="F22" s="60">
        <f t="shared" si="1"/>
        <v>37300</v>
      </c>
      <c r="G22" s="8"/>
      <c r="H22" s="8"/>
      <c r="I22" s="8"/>
      <c r="J22" s="8"/>
      <c r="K22" s="8"/>
      <c r="L22" s="8"/>
      <c r="M22" s="8"/>
      <c r="N22" s="9"/>
      <c r="O22" s="9"/>
    </row>
    <row r="23" spans="1:15" s="10" customFormat="1" ht="14.25" customHeight="1">
      <c r="A23" s="57"/>
      <c r="B23" s="58" t="s">
        <v>385</v>
      </c>
      <c r="C23" s="65">
        <v>127000</v>
      </c>
      <c r="D23" s="65"/>
      <c r="E23" s="61"/>
      <c r="F23" s="60">
        <f t="shared" si="1"/>
        <v>127000</v>
      </c>
      <c r="G23" s="8"/>
      <c r="H23" s="8"/>
      <c r="I23" s="8"/>
      <c r="J23" s="8"/>
      <c r="K23" s="8"/>
      <c r="L23" s="8"/>
      <c r="M23" s="8"/>
      <c r="N23" s="9"/>
      <c r="O23" s="9"/>
    </row>
    <row r="24" spans="1:15" s="10" customFormat="1" ht="14.25" customHeight="1">
      <c r="A24" s="57"/>
      <c r="B24" s="58" t="s">
        <v>386</v>
      </c>
      <c r="C24" s="65">
        <v>129000</v>
      </c>
      <c r="D24" s="65"/>
      <c r="E24" s="61"/>
      <c r="F24" s="60">
        <f t="shared" si="1"/>
        <v>129000</v>
      </c>
      <c r="G24" s="8"/>
      <c r="H24" s="8"/>
      <c r="I24" s="8"/>
      <c r="J24" s="8"/>
      <c r="K24" s="8"/>
      <c r="L24" s="8"/>
      <c r="M24" s="8"/>
      <c r="N24" s="9"/>
      <c r="O24" s="9"/>
    </row>
    <row r="25" spans="1:15" s="10" customFormat="1" ht="14.25" customHeight="1">
      <c r="A25" s="57"/>
      <c r="B25" s="58" t="s">
        <v>387</v>
      </c>
      <c r="C25" s="65">
        <v>20000</v>
      </c>
      <c r="D25" s="65"/>
      <c r="E25" s="61"/>
      <c r="F25" s="60">
        <f t="shared" si="1"/>
        <v>20000</v>
      </c>
      <c r="G25" s="8"/>
      <c r="H25" s="8"/>
      <c r="I25" s="8"/>
      <c r="J25" s="8"/>
      <c r="K25" s="8"/>
      <c r="L25" s="8"/>
      <c r="M25" s="8"/>
      <c r="N25" s="9"/>
      <c r="O25" s="9"/>
    </row>
    <row r="26" spans="1:15" s="10" customFormat="1" ht="14.25" customHeight="1">
      <c r="A26" s="57"/>
      <c r="B26" s="58" t="s">
        <v>388</v>
      </c>
      <c r="C26" s="65">
        <v>137000</v>
      </c>
      <c r="D26" s="65"/>
      <c r="E26" s="61"/>
      <c r="F26" s="60">
        <f t="shared" si="1"/>
        <v>137000</v>
      </c>
      <c r="G26" s="8"/>
      <c r="H26" s="8"/>
      <c r="I26" s="8"/>
      <c r="J26" s="8"/>
      <c r="K26" s="8"/>
      <c r="L26" s="8"/>
      <c r="M26" s="8"/>
      <c r="N26" s="9"/>
      <c r="O26" s="9"/>
    </row>
    <row r="27" spans="1:15" s="10" customFormat="1" ht="14.25" customHeight="1">
      <c r="A27" s="57"/>
      <c r="B27" s="58" t="s">
        <v>389</v>
      </c>
      <c r="C27" s="65">
        <v>90000</v>
      </c>
      <c r="D27" s="65"/>
      <c r="E27" s="61"/>
      <c r="F27" s="60">
        <f t="shared" si="1"/>
        <v>90000</v>
      </c>
      <c r="G27" s="8"/>
      <c r="H27" s="8"/>
      <c r="I27" s="8"/>
      <c r="J27" s="8"/>
      <c r="K27" s="8"/>
      <c r="L27" s="8"/>
      <c r="M27" s="8"/>
      <c r="N27" s="9"/>
      <c r="O27" s="9"/>
    </row>
    <row r="28" spans="1:15" s="10" customFormat="1" ht="14.25" customHeight="1">
      <c r="A28" s="57"/>
      <c r="B28" s="58" t="s">
        <v>390</v>
      </c>
      <c r="C28" s="65">
        <v>141300</v>
      </c>
      <c r="D28" s="65"/>
      <c r="E28" s="61"/>
      <c r="F28" s="60">
        <f t="shared" si="1"/>
        <v>141300</v>
      </c>
      <c r="G28" s="8"/>
      <c r="H28" s="8"/>
      <c r="I28" s="8"/>
      <c r="J28" s="8"/>
      <c r="K28" s="8"/>
      <c r="L28" s="8"/>
      <c r="M28" s="8"/>
      <c r="N28" s="9"/>
      <c r="O28" s="9"/>
    </row>
    <row r="29" spans="1:15" s="10" customFormat="1" ht="14.25" customHeight="1">
      <c r="A29" s="57"/>
      <c r="B29" s="58" t="s">
        <v>391</v>
      </c>
      <c r="C29" s="65">
        <v>74700</v>
      </c>
      <c r="D29" s="65"/>
      <c r="E29" s="61"/>
      <c r="F29" s="60">
        <f t="shared" si="1"/>
        <v>74700</v>
      </c>
      <c r="G29" s="8"/>
      <c r="H29" s="8"/>
      <c r="I29" s="8"/>
      <c r="J29" s="8"/>
      <c r="K29" s="8"/>
      <c r="L29" s="8"/>
      <c r="M29" s="8"/>
      <c r="N29" s="9"/>
      <c r="O29" s="9"/>
    </row>
    <row r="30" spans="1:15" s="10" customFormat="1" ht="14.25" customHeight="1">
      <c r="A30" s="57"/>
      <c r="B30" s="58" t="s">
        <v>392</v>
      </c>
      <c r="C30" s="65">
        <v>100400</v>
      </c>
      <c r="D30" s="65"/>
      <c r="E30" s="61"/>
      <c r="F30" s="60">
        <f t="shared" si="1"/>
        <v>100400</v>
      </c>
      <c r="G30" s="8"/>
      <c r="H30" s="8"/>
      <c r="I30" s="8"/>
      <c r="J30" s="8"/>
      <c r="K30" s="8"/>
      <c r="L30" s="8"/>
      <c r="M30" s="8"/>
      <c r="N30" s="9"/>
      <c r="O30" s="9"/>
    </row>
    <row r="31" spans="1:15" s="10" customFormat="1" ht="14.25" customHeight="1">
      <c r="A31" s="57"/>
      <c r="B31" s="58" t="s">
        <v>393</v>
      </c>
      <c r="C31" s="65">
        <v>196700</v>
      </c>
      <c r="D31" s="65"/>
      <c r="E31" s="61"/>
      <c r="F31" s="60">
        <f t="shared" si="1"/>
        <v>196700</v>
      </c>
      <c r="G31" s="8"/>
      <c r="H31" s="8"/>
      <c r="I31" s="8"/>
      <c r="J31" s="8"/>
      <c r="K31" s="8"/>
      <c r="L31" s="8"/>
      <c r="M31" s="8"/>
      <c r="N31" s="9"/>
      <c r="O31" s="9"/>
    </row>
    <row r="32" spans="1:15" s="10" customFormat="1" ht="14.25" customHeight="1">
      <c r="A32" s="57"/>
      <c r="B32" s="58" t="s">
        <v>394</v>
      </c>
      <c r="C32" s="65">
        <v>116400</v>
      </c>
      <c r="D32" s="65"/>
      <c r="E32" s="61"/>
      <c r="F32" s="60">
        <f t="shared" si="1"/>
        <v>116400</v>
      </c>
      <c r="G32" s="8"/>
      <c r="H32" s="8"/>
      <c r="I32" s="8"/>
      <c r="J32" s="8"/>
      <c r="K32" s="8"/>
      <c r="L32" s="8"/>
      <c r="M32" s="8"/>
      <c r="N32" s="9"/>
      <c r="O32" s="9"/>
    </row>
    <row r="33" spans="1:15" ht="15.75" customHeight="1">
      <c r="A33" s="57"/>
      <c r="B33" s="58" t="s">
        <v>395</v>
      </c>
      <c r="C33" s="66">
        <v>212400</v>
      </c>
      <c r="D33" s="65"/>
      <c r="E33" s="63"/>
      <c r="F33" s="60">
        <f t="shared" si="1"/>
        <v>212400</v>
      </c>
      <c r="G33" s="6"/>
      <c r="H33" s="6"/>
      <c r="I33" s="6"/>
      <c r="J33" s="6"/>
      <c r="K33" s="6"/>
      <c r="L33" s="6"/>
      <c r="M33" s="6"/>
      <c r="N33" s="3"/>
      <c r="O33" s="3"/>
    </row>
    <row r="34" spans="1:15" ht="17.25" customHeight="1">
      <c r="A34" s="57"/>
      <c r="B34" s="58" t="s">
        <v>396</v>
      </c>
      <c r="C34" s="66">
        <v>75100</v>
      </c>
      <c r="D34" s="67"/>
      <c r="E34" s="64"/>
      <c r="F34" s="60">
        <f t="shared" si="1"/>
        <v>75100</v>
      </c>
      <c r="G34" s="6"/>
      <c r="H34" s="6"/>
      <c r="I34" s="6"/>
      <c r="J34" s="6"/>
      <c r="K34" s="6"/>
      <c r="L34" s="6"/>
      <c r="M34" s="6"/>
      <c r="N34" s="3"/>
      <c r="O34" s="3"/>
    </row>
    <row r="35" spans="1:15" ht="18" customHeight="1">
      <c r="A35" s="57"/>
      <c r="B35" s="58" t="s">
        <v>401</v>
      </c>
      <c r="C35" s="66">
        <v>33100</v>
      </c>
      <c r="D35" s="65"/>
      <c r="E35" s="63"/>
      <c r="F35" s="60">
        <f t="shared" si="1"/>
        <v>33100</v>
      </c>
      <c r="G35" s="6"/>
      <c r="H35" s="6"/>
      <c r="I35" s="6"/>
      <c r="J35" s="6"/>
      <c r="K35" s="6"/>
      <c r="L35" s="6"/>
      <c r="M35" s="6"/>
      <c r="N35" s="3"/>
      <c r="O35" s="3"/>
    </row>
    <row r="36" spans="1:15" ht="16.5" customHeight="1">
      <c r="A36" s="57"/>
      <c r="B36" s="58" t="s">
        <v>397</v>
      </c>
      <c r="C36" s="66">
        <v>549400</v>
      </c>
      <c r="D36" s="65"/>
      <c r="E36" s="63"/>
      <c r="F36" s="60">
        <f t="shared" si="1"/>
        <v>549400</v>
      </c>
      <c r="G36" s="6"/>
      <c r="H36" s="6"/>
      <c r="I36" s="6"/>
      <c r="J36" s="6"/>
      <c r="K36" s="6"/>
      <c r="L36" s="6"/>
      <c r="M36" s="6"/>
      <c r="N36" s="3"/>
      <c r="O36" s="3"/>
    </row>
    <row r="37" spans="1:15" ht="47.25">
      <c r="A37" s="57"/>
      <c r="B37" s="58" t="s">
        <v>409</v>
      </c>
      <c r="C37" s="66"/>
      <c r="D37" s="65">
        <v>200000</v>
      </c>
      <c r="E37" s="63">
        <v>200000</v>
      </c>
      <c r="F37" s="60">
        <f t="shared" si="1"/>
        <v>200000</v>
      </c>
      <c r="G37" s="6"/>
      <c r="H37" s="6"/>
      <c r="I37" s="6"/>
      <c r="J37" s="6"/>
      <c r="K37" s="6"/>
      <c r="L37" s="6"/>
      <c r="M37" s="6"/>
      <c r="N37" s="3"/>
      <c r="O37" s="3"/>
    </row>
    <row r="38" spans="1:15" ht="47.25">
      <c r="A38" s="57" t="s">
        <v>399</v>
      </c>
      <c r="B38" s="58" t="s">
        <v>400</v>
      </c>
      <c r="C38" s="66">
        <f>C39</f>
        <v>45000</v>
      </c>
      <c r="D38" s="63"/>
      <c r="E38" s="63"/>
      <c r="F38" s="60">
        <f t="shared" si="1"/>
        <v>45000</v>
      </c>
      <c r="G38" s="6"/>
      <c r="H38" s="6"/>
      <c r="I38" s="6"/>
      <c r="J38" s="6"/>
      <c r="K38" s="6"/>
      <c r="L38" s="6"/>
      <c r="M38" s="6"/>
      <c r="N38" s="3"/>
      <c r="O38" s="3"/>
    </row>
    <row r="39" spans="1:15" ht="63">
      <c r="A39" s="57" t="s">
        <v>380</v>
      </c>
      <c r="B39" s="58" t="s">
        <v>410</v>
      </c>
      <c r="C39" s="62">
        <v>45000</v>
      </c>
      <c r="D39" s="63"/>
      <c r="E39" s="63"/>
      <c r="F39" s="60">
        <f t="shared" si="1"/>
        <v>45000</v>
      </c>
      <c r="G39" s="6"/>
      <c r="H39" s="6"/>
      <c r="I39" s="6"/>
      <c r="J39" s="6"/>
      <c r="K39" s="6"/>
      <c r="L39" s="6"/>
      <c r="M39" s="6"/>
      <c r="N39" s="3"/>
      <c r="O39" s="3"/>
    </row>
    <row r="40" spans="1:15" s="13" customFormat="1" ht="20.25">
      <c r="A40" s="53"/>
      <c r="B40" s="54" t="s">
        <v>372</v>
      </c>
      <c r="C40" s="68">
        <f>C9</f>
        <v>5320800</v>
      </c>
      <c r="D40" s="68">
        <f>D9</f>
        <v>2518006</v>
      </c>
      <c r="E40" s="68">
        <f>E9</f>
        <v>200000</v>
      </c>
      <c r="F40" s="68">
        <f>F9</f>
        <v>7838806</v>
      </c>
      <c r="G40" s="11"/>
      <c r="H40" s="11"/>
      <c r="I40" s="11"/>
      <c r="J40" s="11"/>
      <c r="K40" s="11"/>
      <c r="L40" s="11"/>
      <c r="M40" s="11"/>
      <c r="N40" s="12"/>
      <c r="O40" s="12"/>
    </row>
    <row r="41" spans="1:15" s="13" customFormat="1" ht="35.25" customHeight="1">
      <c r="A41" s="14"/>
      <c r="B41" s="15"/>
      <c r="C41" s="26"/>
      <c r="D41" s="16"/>
      <c r="E41" s="16"/>
      <c r="F41" s="16"/>
      <c r="G41" s="11"/>
      <c r="H41" s="11"/>
      <c r="I41" s="11"/>
      <c r="J41" s="11"/>
      <c r="K41" s="11"/>
      <c r="L41" s="11"/>
      <c r="M41" s="11"/>
      <c r="N41" s="12"/>
      <c r="O41" s="12"/>
    </row>
    <row r="42" spans="1:15" s="13" customFormat="1" ht="18.75" customHeight="1">
      <c r="A42" s="14"/>
      <c r="B42" s="600" t="s">
        <v>373</v>
      </c>
      <c r="C42" s="600"/>
      <c r="D42" s="16"/>
      <c r="E42" s="18"/>
      <c r="F42" s="17" t="s">
        <v>375</v>
      </c>
      <c r="G42" s="11"/>
      <c r="H42" s="11"/>
      <c r="I42" s="11"/>
      <c r="J42" s="11"/>
      <c r="K42" s="11"/>
      <c r="L42" s="11"/>
      <c r="M42" s="11"/>
      <c r="N42" s="12"/>
      <c r="O42" s="12"/>
    </row>
    <row r="43" spans="1:15" ht="12.75">
      <c r="A43" s="27"/>
      <c r="B43" s="28"/>
      <c r="C43" s="29"/>
      <c r="G43" s="6"/>
      <c r="H43" s="6"/>
      <c r="I43" s="6"/>
      <c r="J43" s="6"/>
      <c r="K43" s="6"/>
      <c r="L43" s="6"/>
      <c r="M43" s="6"/>
      <c r="N43" s="3"/>
      <c r="O43" s="3"/>
    </row>
    <row r="44" spans="1:15" ht="15.75">
      <c r="A44" s="30"/>
      <c r="B44" s="31"/>
      <c r="C44" s="32"/>
      <c r="D44" s="21"/>
      <c r="E44" s="21"/>
      <c r="F44" s="21"/>
      <c r="G44" s="6"/>
      <c r="H44" s="6"/>
      <c r="I44" s="6"/>
      <c r="J44" s="6"/>
      <c r="K44" s="6"/>
      <c r="L44" s="6"/>
      <c r="M44" s="6"/>
      <c r="N44" s="3"/>
      <c r="O44" s="3"/>
    </row>
    <row r="45" spans="1:15" ht="23.25" customHeight="1">
      <c r="A45" s="33"/>
      <c r="B45" s="34"/>
      <c r="C45" s="35"/>
      <c r="D45" s="22"/>
      <c r="E45" s="22"/>
      <c r="F45" s="22"/>
      <c r="G45" s="6"/>
      <c r="H45" s="6"/>
      <c r="I45" s="6"/>
      <c r="J45" s="6"/>
      <c r="K45" s="6"/>
      <c r="L45" s="6"/>
      <c r="M45" s="6"/>
      <c r="N45" s="3"/>
      <c r="O45" s="3"/>
    </row>
    <row r="46" spans="1:15" ht="35.25" customHeight="1">
      <c r="A46" s="33"/>
      <c r="B46" s="36"/>
      <c r="C46" s="37"/>
      <c r="F46" s="23"/>
      <c r="G46" s="23"/>
      <c r="H46" s="23"/>
      <c r="I46" s="6"/>
      <c r="J46" s="6"/>
      <c r="K46" s="6"/>
      <c r="L46" s="6"/>
      <c r="M46" s="6"/>
      <c r="N46" s="3"/>
      <c r="O46" s="3"/>
    </row>
    <row r="47" spans="1:15" ht="12.75">
      <c r="A47" s="33"/>
      <c r="B47" s="36"/>
      <c r="C47" s="38"/>
      <c r="D47" s="6"/>
      <c r="E47" s="6"/>
      <c r="F47" s="6"/>
      <c r="G47" s="6"/>
      <c r="H47" s="6"/>
      <c r="I47" s="6"/>
      <c r="J47" s="6"/>
      <c r="K47" s="6"/>
      <c r="L47" s="6"/>
      <c r="M47" s="6"/>
      <c r="N47" s="3"/>
      <c r="O47" s="3"/>
    </row>
    <row r="48" spans="1:15" ht="20.25" customHeight="1">
      <c r="A48" s="33"/>
      <c r="B48" s="36"/>
      <c r="C48" s="39"/>
      <c r="D48" s="24"/>
      <c r="E48" s="6"/>
      <c r="F48" s="6"/>
      <c r="G48" s="6"/>
      <c r="H48" s="6"/>
      <c r="I48" s="6"/>
      <c r="J48" s="6"/>
      <c r="K48" s="6"/>
      <c r="L48" s="6"/>
      <c r="M48" s="6"/>
      <c r="N48" s="3"/>
      <c r="O48" s="3"/>
    </row>
    <row r="49" spans="1:15" ht="12.75">
      <c r="A49" s="38"/>
      <c r="B49" s="36"/>
      <c r="C49" s="38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  <c r="O49" s="3"/>
    </row>
    <row r="50" spans="1:15" ht="12.75">
      <c r="A50" s="38"/>
      <c r="B50" s="36"/>
      <c r="C50" s="38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  <c r="O50" s="3"/>
    </row>
    <row r="51" spans="1:15" ht="12.75">
      <c r="A51" s="38"/>
      <c r="B51" s="36"/>
      <c r="C51" s="38"/>
      <c r="D51" s="6"/>
      <c r="E51" s="6"/>
      <c r="F51" s="6"/>
      <c r="G51" s="6"/>
      <c r="H51" s="6"/>
      <c r="I51" s="6"/>
      <c r="J51" s="6"/>
      <c r="K51" s="6"/>
      <c r="L51" s="6"/>
      <c r="M51" s="6"/>
      <c r="N51" s="3"/>
      <c r="O51" s="3"/>
    </row>
    <row r="52" spans="1:15" ht="12.75">
      <c r="A52" s="38"/>
      <c r="B52" s="40"/>
      <c r="C52" s="38"/>
      <c r="D52" s="6"/>
      <c r="E52" s="6"/>
      <c r="F52" s="6"/>
      <c r="G52" s="6"/>
      <c r="H52" s="6"/>
      <c r="I52" s="6"/>
      <c r="J52" s="6"/>
      <c r="K52" s="6"/>
      <c r="L52" s="6"/>
      <c r="M52" s="6"/>
      <c r="N52" s="3"/>
      <c r="O52" s="3"/>
    </row>
    <row r="53" spans="1:15" ht="12.75">
      <c r="A53" s="38"/>
      <c r="B53" s="36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3"/>
      <c r="O53" s="3"/>
    </row>
    <row r="54" spans="1:15" ht="12.75">
      <c r="A54" s="38"/>
      <c r="B54" s="36"/>
      <c r="C54" s="38"/>
      <c r="D54" s="6"/>
      <c r="E54" s="6"/>
      <c r="F54" s="6"/>
      <c r="G54" s="6"/>
      <c r="H54" s="6"/>
      <c r="I54" s="6"/>
      <c r="J54" s="6"/>
      <c r="K54" s="6"/>
      <c r="L54" s="6"/>
      <c r="M54" s="6"/>
      <c r="N54" s="3"/>
      <c r="O54" s="3"/>
    </row>
    <row r="55" spans="1:15" ht="12.75">
      <c r="A55" s="38"/>
      <c r="B55" s="36"/>
      <c r="C55" s="38"/>
      <c r="D55" s="6"/>
      <c r="E55" s="6"/>
      <c r="F55" s="6"/>
      <c r="G55" s="6"/>
      <c r="H55" s="6"/>
      <c r="I55" s="6"/>
      <c r="J55" s="6"/>
      <c r="K55" s="6"/>
      <c r="L55" s="6"/>
      <c r="M55" s="6"/>
      <c r="N55" s="3"/>
      <c r="O55" s="3"/>
    </row>
    <row r="56" spans="1:15" ht="12.75">
      <c r="A56" s="38"/>
      <c r="B56" s="36"/>
      <c r="C56" s="38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  <c r="O56" s="3"/>
    </row>
    <row r="57" spans="1:15" ht="12.75">
      <c r="A57" s="38"/>
      <c r="B57" s="36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3"/>
      <c r="O57" s="3"/>
    </row>
    <row r="58" spans="1:15" ht="12.75">
      <c r="A58" s="38"/>
      <c r="B58" s="36"/>
      <c r="C58" s="38"/>
      <c r="D58" s="6"/>
      <c r="E58" s="6"/>
      <c r="F58" s="6"/>
      <c r="G58" s="6"/>
      <c r="H58" s="6"/>
      <c r="I58" s="6"/>
      <c r="J58" s="6"/>
      <c r="K58" s="6"/>
      <c r="L58" s="6"/>
      <c r="M58" s="6"/>
      <c r="N58" s="3"/>
      <c r="O58" s="3"/>
    </row>
    <row r="59" spans="1:15" ht="12.75">
      <c r="A59" s="38"/>
      <c r="B59" s="36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3"/>
      <c r="O59" s="3"/>
    </row>
    <row r="60" spans="1:15" ht="12.75">
      <c r="A60" s="38"/>
      <c r="B60" s="36"/>
      <c r="C60" s="38"/>
      <c r="D60" s="6"/>
      <c r="E60" s="6"/>
      <c r="F60" s="6"/>
      <c r="G60" s="6"/>
      <c r="H60" s="6"/>
      <c r="I60" s="6"/>
      <c r="J60" s="6"/>
      <c r="K60" s="6"/>
      <c r="L60" s="6"/>
      <c r="M60" s="6"/>
      <c r="N60" s="3"/>
      <c r="O60" s="3"/>
    </row>
    <row r="61" spans="1:15" ht="12.75">
      <c r="A61" s="38"/>
      <c r="B61" s="36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3"/>
      <c r="O61" s="3"/>
    </row>
    <row r="62" spans="1:15" ht="12.75">
      <c r="A62" s="38"/>
      <c r="B62" s="36"/>
      <c r="C62" s="38"/>
      <c r="D62" s="6"/>
      <c r="E62" s="6"/>
      <c r="F62" s="6"/>
      <c r="G62" s="6"/>
      <c r="H62" s="6"/>
      <c r="I62" s="6"/>
      <c r="J62" s="6"/>
      <c r="K62" s="6"/>
      <c r="L62" s="6"/>
      <c r="M62" s="6"/>
      <c r="N62" s="3"/>
      <c r="O62" s="3"/>
    </row>
    <row r="63" spans="1:15" ht="12.75">
      <c r="A63" s="38"/>
      <c r="B63" s="36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3"/>
      <c r="O63" s="3"/>
    </row>
    <row r="64" spans="1:15" ht="12.75">
      <c r="A64" s="38"/>
      <c r="B64" s="36"/>
      <c r="C64" s="38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  <c r="O64" s="3"/>
    </row>
    <row r="65" spans="1:15" ht="12.75">
      <c r="A65" s="38"/>
      <c r="B65" s="36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  <c r="O65" s="3"/>
    </row>
    <row r="66" spans="1:15" ht="12.75">
      <c r="A66" s="38"/>
      <c r="B66" s="36"/>
      <c r="C66" s="38"/>
      <c r="D66" s="6"/>
      <c r="E66" s="6"/>
      <c r="F66" s="6"/>
      <c r="G66" s="6"/>
      <c r="H66" s="6"/>
      <c r="I66" s="6"/>
      <c r="J66" s="6"/>
      <c r="K66" s="6"/>
      <c r="L66" s="6"/>
      <c r="M66" s="6"/>
      <c r="N66" s="3"/>
      <c r="O66" s="3"/>
    </row>
    <row r="67" spans="1:17" ht="12.75">
      <c r="A67" s="38"/>
      <c r="B67" s="36"/>
      <c r="C67" s="38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  <c r="O67" s="3"/>
      <c r="P67" s="3"/>
      <c r="Q67" s="3"/>
    </row>
    <row r="68" spans="1:17" ht="12.75">
      <c r="A68" s="38"/>
      <c r="B68" s="36"/>
      <c r="C68" s="38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3"/>
    </row>
    <row r="69" spans="1:17" ht="12.75">
      <c r="A69" s="38"/>
      <c r="B69" s="36"/>
      <c r="C69" s="38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  <c r="O69" s="3"/>
      <c r="P69" s="3"/>
      <c r="Q69" s="3"/>
    </row>
    <row r="70" spans="1:17" ht="12.75">
      <c r="A70" s="38"/>
      <c r="B70" s="36"/>
      <c r="C70" s="38"/>
      <c r="D70" s="6"/>
      <c r="E70" s="6"/>
      <c r="F70" s="6"/>
      <c r="G70" s="25"/>
      <c r="H70" s="6"/>
      <c r="I70" s="6"/>
      <c r="J70" s="6"/>
      <c r="K70" s="6"/>
      <c r="L70" s="6"/>
      <c r="M70" s="6"/>
      <c r="N70" s="3"/>
      <c r="O70" s="3"/>
      <c r="P70" s="3"/>
      <c r="Q70" s="3"/>
    </row>
    <row r="71" spans="1:17" ht="12.75">
      <c r="A71" s="38"/>
      <c r="B71" s="36"/>
      <c r="C71" s="38"/>
      <c r="D71" s="6"/>
      <c r="E71" s="6"/>
      <c r="F71" s="6"/>
      <c r="G71" s="6"/>
      <c r="H71" s="6"/>
      <c r="I71" s="6"/>
      <c r="J71" s="6"/>
      <c r="K71" s="6"/>
      <c r="L71" s="6"/>
      <c r="M71" s="6"/>
      <c r="N71" s="3"/>
      <c r="O71" s="3"/>
      <c r="P71" s="3"/>
      <c r="Q71" s="3"/>
    </row>
    <row r="72" spans="1:17" ht="12.75">
      <c r="A72" s="38"/>
      <c r="B72" s="36"/>
      <c r="C72" s="38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  <c r="O72" s="3"/>
      <c r="P72" s="3"/>
      <c r="Q72" s="3"/>
    </row>
    <row r="73" spans="1:17" ht="12.75">
      <c r="A73" s="38"/>
      <c r="B73" s="36"/>
      <c r="C73" s="38"/>
      <c r="D73" s="6"/>
      <c r="E73" s="6"/>
      <c r="F73" s="6"/>
      <c r="G73" s="6"/>
      <c r="H73" s="6"/>
      <c r="I73" s="6"/>
      <c r="J73" s="6"/>
      <c r="K73" s="6"/>
      <c r="L73" s="6"/>
      <c r="M73" s="6"/>
      <c r="N73" s="3"/>
      <c r="O73" s="3"/>
      <c r="P73" s="3"/>
      <c r="Q73" s="3"/>
    </row>
    <row r="74" spans="1:17" ht="12.75">
      <c r="A74" s="38"/>
      <c r="B74" s="36"/>
      <c r="C74" s="38"/>
      <c r="D74" s="6"/>
      <c r="E74" s="6"/>
      <c r="F74" s="6"/>
      <c r="G74" s="6"/>
      <c r="H74" s="6"/>
      <c r="I74" s="6"/>
      <c r="J74" s="6"/>
      <c r="K74" s="6"/>
      <c r="L74" s="6"/>
      <c r="M74" s="6"/>
      <c r="N74" s="3"/>
      <c r="O74" s="3"/>
      <c r="P74" s="3"/>
      <c r="Q74" s="3"/>
    </row>
    <row r="75" spans="1:17" ht="12.75">
      <c r="A75" s="38"/>
      <c r="B75" s="36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3"/>
      <c r="O75" s="3"/>
      <c r="P75" s="3"/>
      <c r="Q75" s="3"/>
    </row>
    <row r="76" spans="1:17" ht="12.75">
      <c r="A76" s="38"/>
      <c r="B76" s="36"/>
      <c r="C76" s="38"/>
      <c r="D76" s="6"/>
      <c r="E76" s="6"/>
      <c r="F76" s="6"/>
      <c r="G76" s="6"/>
      <c r="H76" s="6"/>
      <c r="I76" s="6"/>
      <c r="J76" s="6"/>
      <c r="K76" s="6"/>
      <c r="L76" s="6"/>
      <c r="M76" s="6"/>
      <c r="N76" s="3"/>
      <c r="O76" s="3"/>
      <c r="P76" s="3"/>
      <c r="Q76" s="3"/>
    </row>
    <row r="77" spans="1:17" ht="12.75">
      <c r="A77" s="38"/>
      <c r="B77" s="36"/>
      <c r="C77" s="38"/>
      <c r="D77" s="6"/>
      <c r="E77" s="6"/>
      <c r="F77" s="6"/>
      <c r="G77" s="6"/>
      <c r="H77" s="6"/>
      <c r="I77" s="6"/>
      <c r="J77" s="6"/>
      <c r="K77" s="6"/>
      <c r="L77" s="6"/>
      <c r="M77" s="6"/>
      <c r="N77" s="3"/>
      <c r="O77" s="3"/>
      <c r="P77" s="3"/>
      <c r="Q77" s="3"/>
    </row>
    <row r="78" spans="1:17" ht="12.75">
      <c r="A78" s="38"/>
      <c r="B78" s="36"/>
      <c r="C78" s="38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  <c r="O78" s="3"/>
      <c r="P78" s="3"/>
      <c r="Q78" s="3"/>
    </row>
    <row r="79" spans="1:17" ht="12.75">
      <c r="A79" s="38"/>
      <c r="B79" s="36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  <c r="O79" s="3"/>
      <c r="P79" s="3"/>
      <c r="Q79" s="3"/>
    </row>
    <row r="80" spans="1:17" ht="12.75">
      <c r="A80" s="38"/>
      <c r="B80" s="36"/>
      <c r="C80" s="38"/>
      <c r="D80" s="6"/>
      <c r="E80" s="6"/>
      <c r="F80" s="6"/>
      <c r="G80" s="6"/>
      <c r="H80" s="6"/>
      <c r="I80" s="6"/>
      <c r="J80" s="6"/>
      <c r="K80" s="6"/>
      <c r="L80" s="6"/>
      <c r="M80" s="6"/>
      <c r="N80" s="3"/>
      <c r="O80" s="3"/>
      <c r="P80" s="3"/>
      <c r="Q80" s="3"/>
    </row>
    <row r="81" spans="1:17" ht="12.75">
      <c r="A81" s="38"/>
      <c r="B81" s="36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3"/>
      <c r="O81" s="3"/>
      <c r="P81" s="3"/>
      <c r="Q81" s="3"/>
    </row>
    <row r="82" spans="1:17" ht="12.75">
      <c r="A82" s="38"/>
      <c r="B82" s="36"/>
      <c r="C82" s="38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  <c r="O82" s="3"/>
      <c r="P82" s="3"/>
      <c r="Q82" s="3"/>
    </row>
    <row r="83" spans="1:17" ht="12.75">
      <c r="A83" s="38"/>
      <c r="B83" s="36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  <c r="O83" s="3"/>
      <c r="P83" s="3"/>
      <c r="Q83" s="3"/>
    </row>
    <row r="84" spans="1:17" ht="12.75">
      <c r="A84" s="38"/>
      <c r="B84" s="36"/>
      <c r="C84" s="38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  <c r="O84" s="3"/>
      <c r="P84" s="3"/>
      <c r="Q84" s="3"/>
    </row>
    <row r="85" spans="1:17" ht="12.75">
      <c r="A85" s="38"/>
      <c r="B85" s="41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  <c r="O85" s="3"/>
      <c r="P85" s="3"/>
      <c r="Q85" s="3"/>
    </row>
    <row r="86" spans="1:17" ht="12.75">
      <c r="A86" s="38"/>
      <c r="B86" s="36"/>
      <c r="C86" s="38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  <c r="O86" s="3"/>
      <c r="P86" s="3"/>
      <c r="Q86" s="3"/>
    </row>
    <row r="87" spans="1:17" ht="12.75">
      <c r="A87" s="38"/>
      <c r="B87" s="36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3"/>
      <c r="O87" s="3"/>
      <c r="P87" s="3"/>
      <c r="Q87" s="3"/>
    </row>
    <row r="88" spans="1:17" ht="12.75">
      <c r="A88" s="38"/>
      <c r="B88" s="36"/>
      <c r="C88" s="38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</row>
    <row r="89" spans="1:17" ht="12.75">
      <c r="A89" s="38"/>
      <c r="B89" s="36"/>
      <c r="C89" s="38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  <c r="O89" s="3"/>
      <c r="P89" s="3"/>
      <c r="Q89" s="3"/>
    </row>
    <row r="90" spans="1:17" ht="12.75">
      <c r="A90" s="38"/>
      <c r="B90" s="36"/>
      <c r="C90" s="38"/>
      <c r="D90" s="6"/>
      <c r="E90" s="6"/>
      <c r="F90" s="6"/>
      <c r="G90" s="6"/>
      <c r="H90" s="6"/>
      <c r="I90" s="6"/>
      <c r="J90" s="6"/>
      <c r="K90" s="6"/>
      <c r="L90" s="6"/>
      <c r="M90" s="6"/>
      <c r="N90" s="3"/>
      <c r="O90" s="3"/>
      <c r="P90" s="3"/>
      <c r="Q90" s="3"/>
    </row>
    <row r="91" spans="1:17" ht="12.75">
      <c r="A91" s="38"/>
      <c r="B91" s="41"/>
      <c r="C91" s="38"/>
      <c r="D91" s="6"/>
      <c r="E91" s="6"/>
      <c r="F91" s="6"/>
      <c r="G91" s="6"/>
      <c r="H91" s="6"/>
      <c r="I91" s="6"/>
      <c r="J91" s="6"/>
      <c r="K91" s="6"/>
      <c r="L91" s="6"/>
      <c r="M91" s="6"/>
      <c r="N91" s="3"/>
      <c r="O91" s="3"/>
      <c r="P91" s="3"/>
      <c r="Q91" s="3"/>
    </row>
    <row r="92" spans="1:17" ht="12.75">
      <c r="A92" s="38"/>
      <c r="B92" s="36"/>
      <c r="C92" s="38"/>
      <c r="D92" s="6"/>
      <c r="E92" s="6"/>
      <c r="F92" s="6"/>
      <c r="G92" s="6"/>
      <c r="H92" s="6"/>
      <c r="I92" s="6"/>
      <c r="J92" s="6"/>
      <c r="K92" s="6"/>
      <c r="L92" s="6"/>
      <c r="M92" s="6"/>
      <c r="N92" s="3"/>
      <c r="O92" s="3"/>
      <c r="P92" s="3"/>
      <c r="Q92" s="3"/>
    </row>
    <row r="93" spans="1:17" ht="12.75">
      <c r="A93" s="38"/>
      <c r="B93" s="36"/>
      <c r="C93" s="38"/>
      <c r="D93" s="6"/>
      <c r="E93" s="6"/>
      <c r="F93" s="6"/>
      <c r="G93" s="6"/>
      <c r="H93" s="6"/>
      <c r="I93" s="6"/>
      <c r="J93" s="6"/>
      <c r="K93" s="6"/>
      <c r="L93" s="6"/>
      <c r="M93" s="6"/>
      <c r="N93" s="3"/>
      <c r="O93" s="3"/>
      <c r="P93" s="3"/>
      <c r="Q93" s="3"/>
    </row>
    <row r="94" spans="1:17" ht="12.75">
      <c r="A94" s="38"/>
      <c r="B94" s="36"/>
      <c r="C94" s="38"/>
      <c r="D94" s="6"/>
      <c r="E94" s="6"/>
      <c r="F94" s="6"/>
      <c r="G94" s="6"/>
      <c r="H94" s="6"/>
      <c r="I94" s="6"/>
      <c r="J94" s="6"/>
      <c r="K94" s="6"/>
      <c r="L94" s="6"/>
      <c r="M94" s="6"/>
      <c r="N94" s="3"/>
      <c r="O94" s="3"/>
      <c r="P94" s="3"/>
      <c r="Q94" s="3"/>
    </row>
    <row r="95" spans="1:17" ht="12.75">
      <c r="A95" s="38"/>
      <c r="B95" s="36"/>
      <c r="C95" s="38"/>
      <c r="D95" s="6"/>
      <c r="E95" s="6"/>
      <c r="F95" s="6"/>
      <c r="G95" s="6"/>
      <c r="H95" s="6"/>
      <c r="I95" s="6"/>
      <c r="J95" s="6"/>
      <c r="K95" s="6"/>
      <c r="L95" s="6"/>
      <c r="M95" s="6"/>
      <c r="N95" s="3"/>
      <c r="O95" s="3"/>
      <c r="P95" s="3"/>
      <c r="Q95" s="3"/>
    </row>
    <row r="96" spans="1:17" ht="12.75">
      <c r="A96" s="38"/>
      <c r="B96" s="36"/>
      <c r="C96" s="38"/>
      <c r="D96" s="6"/>
      <c r="E96" s="6"/>
      <c r="F96" s="6"/>
      <c r="G96" s="6"/>
      <c r="H96" s="6"/>
      <c r="I96" s="6"/>
      <c r="J96" s="6"/>
      <c r="K96" s="6"/>
      <c r="L96" s="6"/>
      <c r="M96" s="6"/>
      <c r="N96" s="3"/>
      <c r="O96" s="3"/>
      <c r="P96" s="3"/>
      <c r="Q96" s="3"/>
    </row>
    <row r="97" spans="1:17" ht="12.75">
      <c r="A97" s="38"/>
      <c r="B97" s="36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3"/>
      <c r="O97" s="3"/>
      <c r="P97" s="3"/>
      <c r="Q97" s="3"/>
    </row>
    <row r="98" spans="1:17" ht="12.75">
      <c r="A98" s="38"/>
      <c r="B98" s="36"/>
      <c r="C98" s="38"/>
      <c r="D98" s="6"/>
      <c r="E98" s="6"/>
      <c r="F98" s="6"/>
      <c r="G98" s="6"/>
      <c r="H98" s="6"/>
      <c r="I98" s="6"/>
      <c r="J98" s="6"/>
      <c r="K98" s="6"/>
      <c r="L98" s="6"/>
      <c r="M98" s="6"/>
      <c r="N98" s="3"/>
      <c r="O98" s="3"/>
      <c r="P98" s="3"/>
      <c r="Q98" s="3"/>
    </row>
    <row r="99" spans="1:17" ht="12.75">
      <c r="A99" s="38"/>
      <c r="B99" s="36"/>
      <c r="C99" s="38"/>
      <c r="D99" s="6"/>
      <c r="E99" s="6"/>
      <c r="F99" s="6"/>
      <c r="G99" s="6"/>
      <c r="H99" s="6"/>
      <c r="I99" s="6"/>
      <c r="J99" s="6"/>
      <c r="K99" s="6"/>
      <c r="L99" s="6"/>
      <c r="M99" s="6"/>
      <c r="N99" s="3"/>
      <c r="O99" s="3"/>
      <c r="P99" s="3"/>
      <c r="Q99" s="3"/>
    </row>
    <row r="100" spans="1:17" ht="12.75">
      <c r="A100" s="38"/>
      <c r="B100" s="36"/>
      <c r="C100" s="3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3"/>
      <c r="O100" s="3"/>
      <c r="P100" s="3"/>
      <c r="Q100" s="3"/>
    </row>
    <row r="101" spans="1:17" ht="12.75">
      <c r="A101" s="38"/>
      <c r="B101" s="36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3"/>
      <c r="O101" s="3"/>
      <c r="P101" s="3"/>
      <c r="Q101" s="3"/>
    </row>
    <row r="102" spans="1:17" ht="12.75">
      <c r="A102" s="38"/>
      <c r="B102" s="36"/>
      <c r="C102" s="3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3"/>
      <c r="O102" s="3"/>
      <c r="P102" s="3"/>
      <c r="Q102" s="3"/>
    </row>
    <row r="103" spans="1:17" ht="12.75">
      <c r="A103" s="38"/>
      <c r="B103" s="36"/>
      <c r="C103" s="4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8"/>
      <c r="B104" s="36"/>
      <c r="C104" s="4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8"/>
      <c r="B105" s="34"/>
      <c r="C105" s="4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8"/>
      <c r="B106" s="34"/>
      <c r="C106" s="4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8"/>
      <c r="B107" s="44"/>
      <c r="C107" s="4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45"/>
      <c r="B108" s="44"/>
      <c r="C108" s="4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45"/>
      <c r="B109" s="34"/>
      <c r="C109" s="4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45"/>
      <c r="B110" s="34"/>
      <c r="C110" s="4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45"/>
      <c r="B111" s="34"/>
      <c r="C111" s="4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45"/>
      <c r="B112" s="34"/>
      <c r="C112" s="4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45"/>
      <c r="B113" s="34"/>
      <c r="C113" s="4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45"/>
      <c r="B114" s="34"/>
      <c r="C114" s="4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45"/>
      <c r="B115" s="34"/>
      <c r="C115" s="4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45"/>
      <c r="B116" s="34"/>
      <c r="C116" s="4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45"/>
      <c r="B117" s="34"/>
      <c r="C117" s="4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45"/>
      <c r="B118" s="34"/>
      <c r="C118" s="4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45"/>
      <c r="B119" s="34"/>
      <c r="C119" s="4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45"/>
      <c r="B120" s="34"/>
      <c r="C120" s="4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45"/>
      <c r="B121" s="34"/>
      <c r="C121" s="4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45"/>
      <c r="B122" s="34"/>
      <c r="C122" s="4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45"/>
      <c r="B123" s="34"/>
      <c r="C123" s="4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45"/>
      <c r="B124" s="34"/>
      <c r="C124" s="4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45"/>
      <c r="B125" s="34"/>
      <c r="C125" s="4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45"/>
      <c r="B126" s="34"/>
      <c r="C126" s="4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45"/>
      <c r="B127" s="34"/>
      <c r="C127" s="4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45"/>
      <c r="B128" s="34"/>
      <c r="C128" s="4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45"/>
      <c r="B129" s="34"/>
      <c r="C129" s="4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45"/>
      <c r="B130" s="34"/>
      <c r="C130" s="4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45"/>
      <c r="B131" s="34"/>
      <c r="C131" s="4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45"/>
      <c r="B132" s="34"/>
      <c r="C132" s="4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45"/>
      <c r="B133" s="34"/>
      <c r="C133" s="4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45"/>
      <c r="B134" s="34"/>
      <c r="C134" s="4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45"/>
      <c r="B135" s="34"/>
      <c r="C135" s="4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45"/>
      <c r="B136" s="34"/>
      <c r="C136" s="4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45"/>
      <c r="B137" s="34"/>
      <c r="C137" s="4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45"/>
      <c r="B138" s="34"/>
      <c r="C138" s="4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45"/>
      <c r="B139" s="34"/>
      <c r="C139" s="4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45"/>
      <c r="B140" s="34"/>
      <c r="C140" s="4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45"/>
      <c r="B141" s="34"/>
      <c r="C141" s="4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45"/>
      <c r="B142" s="34"/>
      <c r="C142" s="4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45"/>
      <c r="B143" s="34"/>
      <c r="C143" s="4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45"/>
      <c r="B144" s="34"/>
      <c r="C144" s="4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45"/>
      <c r="B145" s="34"/>
      <c r="C145" s="4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45"/>
      <c r="B146" s="34"/>
      <c r="C146" s="4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45"/>
      <c r="B147" s="34"/>
      <c r="C147" s="4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45"/>
      <c r="B148" s="34"/>
      <c r="C148" s="4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45"/>
      <c r="B149" s="34"/>
      <c r="C149" s="4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45"/>
      <c r="B150" s="34"/>
      <c r="C150" s="4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45"/>
      <c r="B151" s="34"/>
      <c r="C151" s="4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45"/>
      <c r="B152" s="34"/>
      <c r="C152" s="4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45"/>
      <c r="B153" s="34"/>
      <c r="C153" s="4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45"/>
      <c r="B154" s="34"/>
      <c r="C154" s="4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45"/>
      <c r="B155" s="34"/>
      <c r="C155" s="4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45"/>
      <c r="B156" s="34"/>
      <c r="C156" s="4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45"/>
      <c r="B157" s="34"/>
      <c r="C157" s="4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45"/>
      <c r="B158" s="34"/>
      <c r="C158" s="4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45"/>
      <c r="B159" s="34"/>
      <c r="C159" s="4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45"/>
      <c r="B160" s="34"/>
      <c r="C160" s="4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45"/>
      <c r="B161" s="34"/>
      <c r="C161" s="4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45"/>
      <c r="B162" s="34"/>
      <c r="C162" s="4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45"/>
      <c r="B163" s="34"/>
      <c r="C163" s="4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45"/>
      <c r="B164" s="34"/>
      <c r="C164" s="4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45"/>
      <c r="B165" s="34"/>
      <c r="C165" s="4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45"/>
      <c r="B166" s="34"/>
      <c r="C166" s="4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45"/>
      <c r="B167" s="34"/>
      <c r="C167" s="4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45"/>
      <c r="B168" s="34"/>
      <c r="C168" s="4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45"/>
      <c r="B169" s="34"/>
      <c r="C169" s="4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5"/>
      <c r="B170" s="34"/>
      <c r="C170" s="4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45"/>
      <c r="B171" s="34"/>
      <c r="C171" s="4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45"/>
      <c r="B172" s="34"/>
      <c r="C172" s="4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45"/>
      <c r="B173" s="34"/>
      <c r="C173" s="4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45"/>
      <c r="B174" s="34"/>
      <c r="C174" s="4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45"/>
      <c r="B175" s="34"/>
      <c r="C175" s="4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45"/>
      <c r="B176" s="34"/>
      <c r="C176" s="4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45"/>
      <c r="B177" s="34"/>
      <c r="C177" s="4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45"/>
      <c r="B178" s="34"/>
      <c r="C178" s="4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45"/>
      <c r="B179" s="34"/>
      <c r="C179" s="4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45"/>
      <c r="B180" s="34"/>
      <c r="C180" s="4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45"/>
      <c r="B181" s="34"/>
      <c r="C181" s="4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45"/>
      <c r="B182" s="34"/>
      <c r="C182" s="4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45"/>
      <c r="B183" s="34"/>
      <c r="C183" s="4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45"/>
      <c r="B184" s="34"/>
      <c r="C184" s="4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</sheetData>
  <sheetProtection/>
  <mergeCells count="7">
    <mergeCell ref="D6:E6"/>
    <mergeCell ref="B42:C42"/>
    <mergeCell ref="A4:F4"/>
    <mergeCell ref="A6:A7"/>
    <mergeCell ref="C6:C7"/>
    <mergeCell ref="F6:F7"/>
    <mergeCell ref="B6:B7"/>
  </mergeCells>
  <printOptions/>
  <pageMargins left="0.9055118110236221" right="0.31496062992125984" top="0.5118110236220472" bottom="0.3937007874015748" header="0" footer="0.3937007874015748"/>
  <pageSetup horizontalDpi="600" verticalDpi="600" orientation="portrait" paperSize="9" scale="65" r:id="rId1"/>
  <headerFooter alignWithMargins="0">
    <oddHeader>&amp;C&amp;P</oddHead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187"/>
  <sheetViews>
    <sheetView workbookViewId="0" topLeftCell="A2">
      <selection activeCell="F110" sqref="F110"/>
    </sheetView>
  </sheetViews>
  <sheetFormatPr defaultColWidth="9.33203125" defaultRowHeight="12.75"/>
  <cols>
    <col min="1" max="1" width="6" style="437" customWidth="1"/>
    <col min="2" max="2" width="8.16015625" style="437" hidden="1" customWidth="1"/>
    <col min="3" max="3" width="4" style="437" hidden="1" customWidth="1"/>
    <col min="4" max="4" width="84.33203125" style="437" customWidth="1"/>
    <col min="5" max="5" width="19.66015625" style="438" customWidth="1"/>
    <col min="6" max="6" width="13.33203125" style="437" customWidth="1"/>
    <col min="7" max="16384" width="9.33203125" style="437" customWidth="1"/>
  </cols>
  <sheetData>
    <row r="1" ht="65.25" customHeight="1" hidden="1"/>
    <row r="2" ht="15.75">
      <c r="E2" s="439" t="s">
        <v>48</v>
      </c>
    </row>
    <row r="3" ht="15.75">
      <c r="E3" s="439" t="s">
        <v>49</v>
      </c>
    </row>
    <row r="4" ht="15.75">
      <c r="E4" s="439" t="s">
        <v>50</v>
      </c>
    </row>
    <row r="5" spans="2:5" ht="15" customHeight="1">
      <c r="B5" s="632"/>
      <c r="C5" s="632"/>
      <c r="D5" s="632"/>
      <c r="E5" s="632"/>
    </row>
    <row r="6" spans="2:5" ht="66.75" customHeight="1">
      <c r="B6" s="633" t="s">
        <v>51</v>
      </c>
      <c r="C6" s="633"/>
      <c r="D6" s="633"/>
      <c r="E6" s="633"/>
    </row>
    <row r="7" spans="2:5" ht="15" customHeight="1">
      <c r="B7" s="441"/>
      <c r="C7" s="440"/>
      <c r="D7" s="440"/>
      <c r="E7" s="442" t="s">
        <v>417</v>
      </c>
    </row>
    <row r="8" spans="1:5" ht="24.75" customHeight="1">
      <c r="A8" s="634" t="s">
        <v>52</v>
      </c>
      <c r="B8" s="636" t="s">
        <v>53</v>
      </c>
      <c r="C8" s="443"/>
      <c r="D8" s="634" t="s">
        <v>54</v>
      </c>
      <c r="E8" s="637" t="s">
        <v>55</v>
      </c>
    </row>
    <row r="9" spans="1:5" ht="21" customHeight="1">
      <c r="A9" s="635"/>
      <c r="B9" s="636"/>
      <c r="C9" s="445"/>
      <c r="D9" s="635"/>
      <c r="E9" s="638"/>
    </row>
    <row r="10" spans="1:5" ht="13.5" customHeight="1">
      <c r="A10" s="446">
        <v>1</v>
      </c>
      <c r="B10" s="447">
        <v>1</v>
      </c>
      <c r="C10" s="446"/>
      <c r="D10" s="446">
        <v>2</v>
      </c>
      <c r="E10" s="448">
        <v>3</v>
      </c>
    </row>
    <row r="11" spans="1:5" ht="14.25" customHeight="1" hidden="1">
      <c r="A11" s="449"/>
      <c r="B11" s="450"/>
      <c r="C11" s="451"/>
      <c r="D11" s="451"/>
      <c r="E11" s="452"/>
    </row>
    <row r="12" spans="1:5" ht="14.25" customHeight="1" hidden="1">
      <c r="A12" s="449"/>
      <c r="B12" s="453"/>
      <c r="C12" s="453"/>
      <c r="D12" s="454" t="s">
        <v>699</v>
      </c>
      <c r="E12" s="455"/>
    </row>
    <row r="13" spans="1:5" ht="30.75" customHeight="1" hidden="1">
      <c r="A13" s="449"/>
      <c r="B13" s="444"/>
      <c r="C13" s="449"/>
      <c r="D13" s="302"/>
      <c r="E13" s="460"/>
    </row>
    <row r="14" spans="1:5" ht="30.75" customHeight="1" hidden="1">
      <c r="A14" s="449"/>
      <c r="B14" s="444"/>
      <c r="C14" s="449"/>
      <c r="D14" s="302"/>
      <c r="E14" s="460"/>
    </row>
    <row r="15" spans="1:5" ht="14.25" customHeight="1" hidden="1">
      <c r="A15" s="449"/>
      <c r="B15" s="444"/>
      <c r="C15" s="449"/>
      <c r="D15" s="302"/>
      <c r="E15" s="460"/>
    </row>
    <row r="16" spans="1:5" ht="36" customHeight="1" hidden="1">
      <c r="A16" s="449"/>
      <c r="B16" s="444"/>
      <c r="C16" s="449"/>
      <c r="D16" s="461"/>
      <c r="E16" s="462"/>
    </row>
    <row r="17" spans="1:5" ht="14.25" customHeight="1" hidden="1">
      <c r="A17" s="449"/>
      <c r="B17" s="453"/>
      <c r="C17" s="453"/>
      <c r="D17" s="463" t="s">
        <v>56</v>
      </c>
      <c r="E17" s="464"/>
    </row>
    <row r="18" spans="1:5" ht="32.25" customHeight="1" hidden="1">
      <c r="A18" s="449"/>
      <c r="B18" s="465"/>
      <c r="C18" s="445"/>
      <c r="D18" s="466"/>
      <c r="E18" s="467"/>
    </row>
    <row r="19" spans="1:5" ht="30.75" customHeight="1" hidden="1">
      <c r="A19" s="449"/>
      <c r="B19" s="444"/>
      <c r="C19" s="449"/>
      <c r="D19" s="461"/>
      <c r="E19" s="462"/>
    </row>
    <row r="20" spans="1:5" ht="33.75" customHeight="1" hidden="1">
      <c r="A20" s="449"/>
      <c r="B20" s="450"/>
      <c r="C20" s="443"/>
      <c r="D20" s="468"/>
      <c r="E20" s="469"/>
    </row>
    <row r="21" spans="1:5" ht="34.5" customHeight="1" hidden="1">
      <c r="A21" s="449"/>
      <c r="B21" s="444"/>
      <c r="C21" s="449"/>
      <c r="D21" s="461"/>
      <c r="E21" s="462"/>
    </row>
    <row r="22" spans="1:5" ht="15" customHeight="1" hidden="1">
      <c r="A22" s="449"/>
      <c r="B22" s="441"/>
      <c r="C22" s="441"/>
      <c r="D22" s="470" t="s">
        <v>57</v>
      </c>
      <c r="E22" s="471"/>
    </row>
    <row r="23" spans="1:5" ht="45.75" customHeight="1" hidden="1">
      <c r="A23" s="449"/>
      <c r="B23" s="465"/>
      <c r="C23" s="445"/>
      <c r="D23" s="466"/>
      <c r="E23" s="467"/>
    </row>
    <row r="24" spans="1:5" ht="30" customHeight="1" hidden="1">
      <c r="A24" s="449"/>
      <c r="B24" s="444"/>
      <c r="C24" s="449"/>
      <c r="D24" s="461"/>
      <c r="E24" s="462"/>
    </row>
    <row r="25" spans="1:5" ht="29.25" customHeight="1" hidden="1">
      <c r="A25" s="449"/>
      <c r="B25" s="450"/>
      <c r="C25" s="443"/>
      <c r="D25" s="468"/>
      <c r="E25" s="469"/>
    </row>
    <row r="26" spans="1:5" ht="30.75" customHeight="1" hidden="1">
      <c r="A26" s="449"/>
      <c r="B26" s="444"/>
      <c r="C26" s="449"/>
      <c r="D26" s="461"/>
      <c r="E26" s="462"/>
    </row>
    <row r="27" spans="1:5" ht="17.25" customHeight="1" hidden="1">
      <c r="A27" s="449"/>
      <c r="B27" s="441"/>
      <c r="C27" s="441"/>
      <c r="D27" s="472" t="s">
        <v>58</v>
      </c>
      <c r="E27" s="471"/>
    </row>
    <row r="28" spans="1:5" ht="30" customHeight="1" hidden="1">
      <c r="A28" s="449"/>
      <c r="B28" s="465"/>
      <c r="C28" s="445"/>
      <c r="D28" s="466"/>
      <c r="E28" s="467"/>
    </row>
    <row r="29" spans="1:5" ht="30" customHeight="1" hidden="1">
      <c r="A29" s="449"/>
      <c r="B29" s="450"/>
      <c r="C29" s="443"/>
      <c r="D29" s="468"/>
      <c r="E29" s="469"/>
    </row>
    <row r="30" spans="1:5" ht="18" customHeight="1" hidden="1">
      <c r="A30" s="449"/>
      <c r="B30" s="453"/>
      <c r="C30" s="453"/>
      <c r="D30" s="473" t="s">
        <v>59</v>
      </c>
      <c r="E30" s="464"/>
    </row>
    <row r="31" spans="1:5" ht="28.5" customHeight="1" hidden="1">
      <c r="A31" s="449"/>
      <c r="B31" s="465"/>
      <c r="C31" s="445"/>
      <c r="D31" s="466"/>
      <c r="E31" s="467"/>
    </row>
    <row r="32" spans="1:5" ht="33.75" customHeight="1" hidden="1">
      <c r="A32" s="449"/>
      <c r="B32" s="450"/>
      <c r="C32" s="443"/>
      <c r="D32" s="468"/>
      <c r="E32" s="469"/>
    </row>
    <row r="33" spans="1:5" ht="9" customHeight="1" hidden="1">
      <c r="A33" s="449"/>
      <c r="B33" s="450"/>
      <c r="C33" s="443"/>
      <c r="D33" s="468"/>
      <c r="E33" s="469"/>
    </row>
    <row r="34" spans="1:5" ht="27" customHeight="1" hidden="1">
      <c r="A34" s="449"/>
      <c r="B34" s="444"/>
      <c r="C34" s="449"/>
      <c r="D34" s="461"/>
      <c r="E34" s="462"/>
    </row>
    <row r="35" spans="1:5" ht="15.75" customHeight="1" hidden="1">
      <c r="A35" s="449"/>
      <c r="B35" s="441"/>
      <c r="C35" s="441"/>
      <c r="D35" s="472" t="s">
        <v>60</v>
      </c>
      <c r="E35" s="471"/>
    </row>
    <row r="36" spans="1:5" ht="33" customHeight="1" hidden="1">
      <c r="A36" s="449"/>
      <c r="B36" s="465"/>
      <c r="C36" s="445"/>
      <c r="D36" s="466"/>
      <c r="E36" s="467"/>
    </row>
    <row r="37" spans="1:5" ht="33" customHeight="1" hidden="1">
      <c r="A37" s="449"/>
      <c r="B37" s="444"/>
      <c r="C37" s="449"/>
      <c r="D37" s="461"/>
      <c r="E37" s="462"/>
    </row>
    <row r="38" spans="1:5" ht="33" customHeight="1" hidden="1">
      <c r="A38" s="449"/>
      <c r="B38" s="444"/>
      <c r="C38" s="474"/>
      <c r="D38" s="475"/>
      <c r="E38" s="476"/>
    </row>
    <row r="39" spans="1:5" ht="32.25" customHeight="1" hidden="1">
      <c r="A39" s="449"/>
      <c r="B39" s="450"/>
      <c r="C39" s="443"/>
      <c r="D39" s="468"/>
      <c r="E39" s="469"/>
    </row>
    <row r="40" spans="1:5" ht="17.25" customHeight="1" hidden="1">
      <c r="A40" s="449"/>
      <c r="B40" s="477"/>
      <c r="C40" s="477"/>
      <c r="D40" s="478" t="s">
        <v>61</v>
      </c>
      <c r="E40" s="479"/>
    </row>
    <row r="41" spans="1:5" ht="50.25" customHeight="1" hidden="1">
      <c r="A41" s="449"/>
      <c r="B41" s="480"/>
      <c r="C41" s="481"/>
      <c r="D41" s="482"/>
      <c r="E41" s="483"/>
    </row>
    <row r="42" spans="1:5" ht="29.25" customHeight="1" hidden="1">
      <c r="A42" s="449"/>
      <c r="B42" s="480"/>
      <c r="C42" s="481"/>
      <c r="D42" s="482"/>
      <c r="E42" s="483"/>
    </row>
    <row r="43" spans="1:5" ht="34.5" customHeight="1" hidden="1">
      <c r="A43" s="449"/>
      <c r="B43" s="480"/>
      <c r="C43" s="481"/>
      <c r="D43" s="482"/>
      <c r="E43" s="483"/>
    </row>
    <row r="44" spans="1:5" ht="37.5" customHeight="1" hidden="1">
      <c r="A44" s="449"/>
      <c r="B44" s="480"/>
      <c r="C44" s="481"/>
      <c r="D44" s="482"/>
      <c r="E44" s="483"/>
    </row>
    <row r="45" spans="1:5" ht="36" customHeight="1" hidden="1">
      <c r="A45" s="449"/>
      <c r="B45" s="444"/>
      <c r="C45" s="449"/>
      <c r="D45" s="461"/>
      <c r="E45" s="462"/>
    </row>
    <row r="46" spans="1:5" ht="16.5" customHeight="1" hidden="1">
      <c r="A46" s="449"/>
      <c r="B46" s="441"/>
      <c r="C46" s="441"/>
      <c r="D46" s="472" t="s">
        <v>62</v>
      </c>
      <c r="E46" s="471"/>
    </row>
    <row r="47" spans="1:5" ht="30.75" customHeight="1" hidden="1">
      <c r="A47" s="449"/>
      <c r="B47" s="465"/>
      <c r="C47" s="445"/>
      <c r="D47" s="466"/>
      <c r="E47" s="467"/>
    </row>
    <row r="48" spans="1:5" ht="36" customHeight="1" hidden="1">
      <c r="A48" s="449"/>
      <c r="B48" s="444"/>
      <c r="C48" s="449"/>
      <c r="D48" s="461"/>
      <c r="E48" s="462"/>
    </row>
    <row r="49" spans="1:5" ht="36" customHeight="1" hidden="1">
      <c r="A49" s="449"/>
      <c r="B49" s="450"/>
      <c r="C49" s="443"/>
      <c r="D49" s="468"/>
      <c r="E49" s="469"/>
    </row>
    <row r="50" spans="1:5" ht="36.75" customHeight="1" hidden="1">
      <c r="A50" s="449"/>
      <c r="B50" s="450"/>
      <c r="C50" s="443"/>
      <c r="D50" s="468"/>
      <c r="E50" s="469"/>
    </row>
    <row r="51" spans="1:5" ht="33.75" customHeight="1" hidden="1">
      <c r="A51" s="449"/>
      <c r="B51" s="450"/>
      <c r="C51" s="443"/>
      <c r="D51" s="468"/>
      <c r="E51" s="469"/>
    </row>
    <row r="52" spans="1:5" ht="33" customHeight="1" hidden="1">
      <c r="A52" s="449"/>
      <c r="B52" s="444"/>
      <c r="C52" s="449"/>
      <c r="D52" s="461"/>
      <c r="E52" s="462"/>
    </row>
    <row r="53" spans="1:5" ht="18" customHeight="1" hidden="1">
      <c r="A53" s="449"/>
      <c r="B53" s="484"/>
      <c r="C53" s="484"/>
      <c r="D53" s="485" t="s">
        <v>63</v>
      </c>
      <c r="E53" s="486"/>
    </row>
    <row r="54" spans="1:5" ht="60" customHeight="1" hidden="1">
      <c r="A54" s="449"/>
      <c r="B54" s="487"/>
      <c r="C54" s="474"/>
      <c r="D54" s="475"/>
      <c r="E54" s="476"/>
    </row>
    <row r="55" spans="1:5" ht="33" customHeight="1" hidden="1">
      <c r="A55" s="449"/>
      <c r="B55" s="444"/>
      <c r="C55" s="449"/>
      <c r="D55" s="461"/>
      <c r="E55" s="462"/>
    </row>
    <row r="56" spans="1:5" ht="35.25" customHeight="1" hidden="1">
      <c r="A56" s="449"/>
      <c r="B56" s="444"/>
      <c r="C56" s="449"/>
      <c r="D56" s="461"/>
      <c r="E56" s="462"/>
    </row>
    <row r="57" spans="1:5" ht="15.75" customHeight="1" hidden="1">
      <c r="A57" s="449"/>
      <c r="B57" s="453"/>
      <c r="C57" s="453"/>
      <c r="D57" s="473" t="s">
        <v>64</v>
      </c>
      <c r="E57" s="464"/>
    </row>
    <row r="58" spans="1:5" ht="34.5" customHeight="1" hidden="1">
      <c r="A58" s="449"/>
      <c r="B58" s="465"/>
      <c r="C58" s="445"/>
      <c r="D58" s="466"/>
      <c r="E58" s="467"/>
    </row>
    <row r="59" spans="1:5" ht="27.75" customHeight="1" hidden="1">
      <c r="A59" s="449"/>
      <c r="B59" s="444"/>
      <c r="C59" s="449"/>
      <c r="D59" s="461"/>
      <c r="E59" s="462"/>
    </row>
    <row r="60" spans="1:5" ht="31.5" customHeight="1" hidden="1">
      <c r="A60" s="449"/>
      <c r="B60" s="450"/>
      <c r="C60" s="443"/>
      <c r="D60" s="468"/>
      <c r="E60" s="469"/>
    </row>
    <row r="61" spans="1:5" ht="17.25" customHeight="1" hidden="1">
      <c r="A61" s="449"/>
      <c r="B61" s="453"/>
      <c r="C61" s="453"/>
      <c r="D61" s="473" t="s">
        <v>65</v>
      </c>
      <c r="E61" s="464"/>
    </row>
    <row r="62" spans="1:5" ht="29.25" customHeight="1" hidden="1">
      <c r="A62" s="449"/>
      <c r="B62" s="487"/>
      <c r="C62" s="474"/>
      <c r="D62" s="475"/>
      <c r="E62" s="476"/>
    </row>
    <row r="63" spans="1:5" ht="43.5" customHeight="1" hidden="1">
      <c r="A63" s="449"/>
      <c r="B63" s="487"/>
      <c r="C63" s="474"/>
      <c r="D63" s="461"/>
      <c r="E63" s="462"/>
    </row>
    <row r="64" spans="1:5" ht="31.5" customHeight="1" hidden="1">
      <c r="A64" s="449"/>
      <c r="B64" s="487"/>
      <c r="C64" s="474"/>
      <c r="D64" s="475"/>
      <c r="E64" s="476"/>
    </row>
    <row r="65" spans="1:5" ht="35.25" customHeight="1" hidden="1">
      <c r="A65" s="449"/>
      <c r="B65" s="444"/>
      <c r="C65" s="449"/>
      <c r="D65" s="461"/>
      <c r="E65" s="462"/>
    </row>
    <row r="66" spans="1:5" ht="18" customHeight="1" hidden="1">
      <c r="A66" s="449"/>
      <c r="B66" s="453"/>
      <c r="C66" s="453"/>
      <c r="D66" s="473" t="s">
        <v>66</v>
      </c>
      <c r="E66" s="464"/>
    </row>
    <row r="67" spans="1:5" ht="32.25" customHeight="1" hidden="1">
      <c r="A67" s="449"/>
      <c r="B67" s="465"/>
      <c r="C67" s="445"/>
      <c r="D67" s="466"/>
      <c r="E67" s="467"/>
    </row>
    <row r="68" spans="1:5" ht="30" customHeight="1" hidden="1">
      <c r="A68" s="449"/>
      <c r="B68" s="444"/>
      <c r="C68" s="449"/>
      <c r="D68" s="461"/>
      <c r="E68" s="462"/>
    </row>
    <row r="69" spans="1:5" ht="35.25" customHeight="1" hidden="1">
      <c r="A69" s="449"/>
      <c r="B69" s="444"/>
      <c r="C69" s="449"/>
      <c r="D69" s="461"/>
      <c r="E69" s="462"/>
    </row>
    <row r="70" spans="1:5" ht="35.25" customHeight="1" hidden="1">
      <c r="A70" s="449"/>
      <c r="B70" s="444"/>
      <c r="C70" s="449"/>
      <c r="D70" s="461"/>
      <c r="E70" s="462"/>
    </row>
    <row r="71" spans="1:5" ht="31.5" customHeight="1" hidden="1">
      <c r="A71" s="449"/>
      <c r="B71" s="450"/>
      <c r="C71" s="443"/>
      <c r="D71" s="468"/>
      <c r="E71" s="469"/>
    </row>
    <row r="72" spans="1:5" ht="31.5" customHeight="1" hidden="1">
      <c r="A72" s="449"/>
      <c r="B72" s="450"/>
      <c r="C72" s="443"/>
      <c r="D72" s="468"/>
      <c r="E72" s="469"/>
    </row>
    <row r="73" spans="1:5" ht="18.75" customHeight="1" hidden="1">
      <c r="A73" s="449"/>
      <c r="B73" s="453"/>
      <c r="C73" s="453"/>
      <c r="D73" s="463" t="s">
        <v>67</v>
      </c>
      <c r="E73" s="464"/>
    </row>
    <row r="74" spans="1:5" ht="38.25" customHeight="1" hidden="1">
      <c r="A74" s="449"/>
      <c r="B74" s="444"/>
      <c r="C74" s="449"/>
      <c r="D74" s="461"/>
      <c r="E74" s="462"/>
    </row>
    <row r="75" spans="1:5" ht="50.25" customHeight="1" hidden="1">
      <c r="A75" s="449"/>
      <c r="B75" s="465"/>
      <c r="C75" s="445"/>
      <c r="D75" s="466"/>
      <c r="E75" s="467"/>
    </row>
    <row r="76" spans="1:5" ht="21.75" customHeight="1" hidden="1">
      <c r="A76" s="449"/>
      <c r="B76" s="465"/>
      <c r="C76" s="445"/>
      <c r="D76" s="466"/>
      <c r="E76" s="467"/>
    </row>
    <row r="77" spans="1:5" ht="28.5" customHeight="1" hidden="1">
      <c r="A77" s="449"/>
      <c r="B77" s="465"/>
      <c r="C77" s="445"/>
      <c r="D77" s="466"/>
      <c r="E77" s="467"/>
    </row>
    <row r="78" spans="1:5" ht="20.25" customHeight="1" hidden="1">
      <c r="A78" s="449"/>
      <c r="B78" s="465"/>
      <c r="C78" s="445"/>
      <c r="D78" s="466"/>
      <c r="E78" s="467"/>
    </row>
    <row r="79" spans="1:5" ht="23.25" customHeight="1" hidden="1">
      <c r="A79" s="449"/>
      <c r="B79" s="465"/>
      <c r="C79" s="445"/>
      <c r="D79" s="466"/>
      <c r="E79" s="467"/>
    </row>
    <row r="80" spans="1:5" ht="79.5" customHeight="1" hidden="1">
      <c r="A80" s="449"/>
      <c r="B80" s="444"/>
      <c r="C80" s="449"/>
      <c r="D80" s="461"/>
      <c r="E80" s="462"/>
    </row>
    <row r="81" spans="1:5" ht="65.25" customHeight="1" hidden="1">
      <c r="A81" s="449"/>
      <c r="B81" s="444"/>
      <c r="C81" s="449"/>
      <c r="D81" s="461"/>
      <c r="E81" s="462"/>
    </row>
    <row r="82" spans="1:5" ht="45" customHeight="1" hidden="1">
      <c r="A82" s="449"/>
      <c r="B82" s="444"/>
      <c r="C82" s="449"/>
      <c r="D82" s="461"/>
      <c r="E82" s="462"/>
    </row>
    <row r="83" spans="1:5" ht="42.75" customHeight="1" hidden="1">
      <c r="A83" s="449"/>
      <c r="B83" s="444"/>
      <c r="C83" s="449"/>
      <c r="D83" s="461"/>
      <c r="E83" s="462"/>
    </row>
    <row r="84" spans="1:5" ht="3.75" customHeight="1" hidden="1">
      <c r="A84" s="449"/>
      <c r="B84" s="444"/>
      <c r="C84" s="449"/>
      <c r="D84" s="461"/>
      <c r="E84" s="462"/>
    </row>
    <row r="85" spans="1:5" ht="34.5" customHeight="1" hidden="1">
      <c r="A85" s="449"/>
      <c r="B85" s="444"/>
      <c r="C85" s="449"/>
      <c r="D85" s="461"/>
      <c r="E85" s="462"/>
    </row>
    <row r="86" spans="1:5" ht="51" customHeight="1" hidden="1">
      <c r="A86" s="449"/>
      <c r="B86" s="444"/>
      <c r="C86" s="449"/>
      <c r="D86" s="461"/>
      <c r="E86" s="462"/>
    </row>
    <row r="87" spans="1:5" ht="15.75" customHeight="1" hidden="1">
      <c r="A87" s="449"/>
      <c r="B87" s="631" t="s">
        <v>68</v>
      </c>
      <c r="C87" s="631"/>
      <c r="D87" s="631"/>
      <c r="E87" s="631"/>
    </row>
    <row r="88" spans="1:5" ht="33.75" customHeight="1" hidden="1">
      <c r="A88" s="449"/>
      <c r="B88" s="488"/>
      <c r="C88" s="461"/>
      <c r="D88" s="461"/>
      <c r="E88" s="462"/>
    </row>
    <row r="89" spans="1:5" ht="78" customHeight="1" hidden="1">
      <c r="A89" s="449"/>
      <c r="B89" s="488"/>
      <c r="C89" s="461"/>
      <c r="D89" s="461"/>
      <c r="E89" s="462"/>
    </row>
    <row r="90" spans="1:5" ht="36" customHeight="1" hidden="1">
      <c r="A90" s="449"/>
      <c r="B90" s="488"/>
      <c r="C90" s="461"/>
      <c r="D90" s="461"/>
      <c r="E90" s="489"/>
    </row>
    <row r="91" spans="1:5" ht="36" customHeight="1" hidden="1">
      <c r="A91" s="449"/>
      <c r="B91" s="488"/>
      <c r="C91" s="461"/>
      <c r="D91" s="461"/>
      <c r="E91" s="489"/>
    </row>
    <row r="92" spans="1:5" ht="40.5" customHeight="1" hidden="1">
      <c r="A92" s="449"/>
      <c r="B92" s="488"/>
      <c r="C92" s="461"/>
      <c r="D92" s="461"/>
      <c r="E92" s="489"/>
    </row>
    <row r="93" spans="1:5" ht="36" customHeight="1" hidden="1">
      <c r="A93" s="449"/>
      <c r="B93" s="444"/>
      <c r="C93" s="449"/>
      <c r="D93" s="461"/>
      <c r="E93" s="462"/>
    </row>
    <row r="94" spans="1:5" ht="16.5" customHeight="1" hidden="1">
      <c r="A94" s="449"/>
      <c r="B94" s="453"/>
      <c r="C94" s="453"/>
      <c r="D94" s="473" t="s">
        <v>69</v>
      </c>
      <c r="E94" s="464"/>
    </row>
    <row r="95" spans="1:5" ht="60" customHeight="1" hidden="1">
      <c r="A95" s="449"/>
      <c r="B95" s="444"/>
      <c r="C95" s="449"/>
      <c r="D95" s="461"/>
      <c r="E95" s="462"/>
    </row>
    <row r="96" spans="1:5" ht="58.5" customHeight="1" hidden="1">
      <c r="A96" s="449"/>
      <c r="B96" s="444"/>
      <c r="C96" s="449"/>
      <c r="D96" s="461"/>
      <c r="E96" s="462"/>
    </row>
    <row r="97" spans="1:5" ht="32.25" customHeight="1" hidden="1">
      <c r="A97" s="449"/>
      <c r="B97" s="444"/>
      <c r="C97" s="449"/>
      <c r="D97" s="461"/>
      <c r="E97" s="462"/>
    </row>
    <row r="98" spans="1:5" ht="33.75" customHeight="1" hidden="1">
      <c r="A98" s="449"/>
      <c r="B98" s="444"/>
      <c r="C98" s="449"/>
      <c r="D98" s="461"/>
      <c r="E98" s="462"/>
    </row>
    <row r="99" spans="1:5" ht="33.75" customHeight="1" hidden="1">
      <c r="A99" s="449"/>
      <c r="B99" s="444"/>
      <c r="C99" s="449"/>
      <c r="D99" s="461"/>
      <c r="E99" s="462"/>
    </row>
    <row r="100" spans="1:5" ht="17.25" customHeight="1">
      <c r="A100" s="449"/>
      <c r="B100" s="444">
        <v>16</v>
      </c>
      <c r="C100" s="449"/>
      <c r="D100" s="490" t="s">
        <v>699</v>
      </c>
      <c r="E100" s="492">
        <f>SUM(E101:E103)</f>
        <v>110489</v>
      </c>
    </row>
    <row r="101" spans="1:5" ht="17.25" customHeight="1">
      <c r="A101" s="493">
        <v>1</v>
      </c>
      <c r="B101" s="444"/>
      <c r="C101" s="494"/>
      <c r="D101" s="495" t="s">
        <v>70</v>
      </c>
      <c r="E101" s="496">
        <v>81506</v>
      </c>
    </row>
    <row r="102" spans="1:5" ht="17.25" customHeight="1">
      <c r="A102" s="493">
        <v>2</v>
      </c>
      <c r="B102" s="444"/>
      <c r="C102" s="494"/>
      <c r="D102" s="495" t="s">
        <v>71</v>
      </c>
      <c r="E102" s="497">
        <v>15365</v>
      </c>
    </row>
    <row r="103" spans="1:5" ht="18" customHeight="1">
      <c r="A103" s="493">
        <v>3</v>
      </c>
      <c r="B103" s="444"/>
      <c r="C103" s="494"/>
      <c r="D103" s="495" t="s">
        <v>72</v>
      </c>
      <c r="E103" s="496">
        <v>13618</v>
      </c>
    </row>
    <row r="104" spans="1:5" ht="15.75" customHeight="1">
      <c r="A104" s="449"/>
      <c r="B104" s="444">
        <v>28</v>
      </c>
      <c r="C104" s="449"/>
      <c r="D104" s="498" t="s">
        <v>73</v>
      </c>
      <c r="E104" s="499">
        <f>SUM(E105:E106)</f>
        <v>11256</v>
      </c>
    </row>
    <row r="105" spans="1:5" ht="18" customHeight="1">
      <c r="A105" s="500">
        <v>4</v>
      </c>
      <c r="B105" s="501" t="s">
        <v>74</v>
      </c>
      <c r="C105" s="494"/>
      <c r="D105" s="501" t="s">
        <v>75</v>
      </c>
      <c r="E105" s="496">
        <v>5808</v>
      </c>
    </row>
    <row r="106" spans="1:5" ht="27.75" customHeight="1">
      <c r="A106" s="500">
        <v>5</v>
      </c>
      <c r="B106" s="501" t="s">
        <v>76</v>
      </c>
      <c r="C106" s="494"/>
      <c r="D106" s="501" t="s">
        <v>77</v>
      </c>
      <c r="E106" s="496">
        <v>5448</v>
      </c>
    </row>
    <row r="107" spans="1:5" ht="17.25" customHeight="1">
      <c r="A107" s="449"/>
      <c r="B107" s="444">
        <v>36</v>
      </c>
      <c r="C107" s="449"/>
      <c r="D107" s="498" t="s">
        <v>701</v>
      </c>
      <c r="E107" s="492">
        <f>SUM(E108:E116)</f>
        <v>67196</v>
      </c>
    </row>
    <row r="108" spans="1:5" ht="16.5" customHeight="1">
      <c r="A108" s="500">
        <v>6</v>
      </c>
      <c r="B108" s="444"/>
      <c r="C108" s="502"/>
      <c r="D108" s="503" t="s">
        <v>78</v>
      </c>
      <c r="E108" s="496">
        <v>4800</v>
      </c>
    </row>
    <row r="109" spans="1:5" ht="15.75" customHeight="1">
      <c r="A109" s="500">
        <v>7</v>
      </c>
      <c r="B109" s="444"/>
      <c r="C109" s="502"/>
      <c r="D109" s="503" t="s">
        <v>79</v>
      </c>
      <c r="E109" s="496">
        <v>4869</v>
      </c>
    </row>
    <row r="110" spans="1:5" ht="15.75" customHeight="1">
      <c r="A110" s="500">
        <v>8</v>
      </c>
      <c r="B110" s="444"/>
      <c r="C110" s="502"/>
      <c r="D110" s="503" t="s">
        <v>80</v>
      </c>
      <c r="E110" s="496">
        <v>9738</v>
      </c>
    </row>
    <row r="111" spans="1:5" ht="15.75" customHeight="1">
      <c r="A111" s="500">
        <v>9</v>
      </c>
      <c r="B111" s="444"/>
      <c r="C111" s="502"/>
      <c r="D111" s="503" t="s">
        <v>81</v>
      </c>
      <c r="E111" s="496">
        <v>4869</v>
      </c>
    </row>
    <row r="112" spans="1:5" ht="15.75" customHeight="1">
      <c r="A112" s="500">
        <v>10</v>
      </c>
      <c r="B112" s="444"/>
      <c r="C112" s="502"/>
      <c r="D112" s="503" t="s">
        <v>82</v>
      </c>
      <c r="E112" s="496">
        <v>7496</v>
      </c>
    </row>
    <row r="113" spans="1:5" ht="15.75" customHeight="1">
      <c r="A113" s="500">
        <v>11</v>
      </c>
      <c r="B113" s="444"/>
      <c r="C113" s="502"/>
      <c r="D113" s="503" t="s">
        <v>83</v>
      </c>
      <c r="E113" s="496">
        <v>3190</v>
      </c>
    </row>
    <row r="114" spans="1:5" ht="15.75" customHeight="1">
      <c r="A114" s="500">
        <v>12</v>
      </c>
      <c r="B114" s="444"/>
      <c r="C114" s="502"/>
      <c r="D114" s="503" t="s">
        <v>84</v>
      </c>
      <c r="E114" s="496">
        <v>7283</v>
      </c>
    </row>
    <row r="115" spans="1:5" ht="15.75" customHeight="1">
      <c r="A115" s="500">
        <v>13</v>
      </c>
      <c r="B115" s="444"/>
      <c r="C115" s="502"/>
      <c r="D115" s="503" t="s">
        <v>85</v>
      </c>
      <c r="E115" s="496">
        <v>12151</v>
      </c>
    </row>
    <row r="116" spans="1:5" ht="15.75" customHeight="1">
      <c r="A116" s="500">
        <v>14</v>
      </c>
      <c r="B116" s="444"/>
      <c r="C116" s="502"/>
      <c r="D116" s="503" t="s">
        <v>86</v>
      </c>
      <c r="E116" s="496">
        <v>12800</v>
      </c>
    </row>
    <row r="117" spans="1:5" ht="17.25" customHeight="1">
      <c r="A117" s="449"/>
      <c r="B117" s="444"/>
      <c r="C117" s="502"/>
      <c r="D117" s="504" t="s">
        <v>703</v>
      </c>
      <c r="E117" s="499">
        <f>SUM(E118:E121)</f>
        <v>348155</v>
      </c>
    </row>
    <row r="118" spans="1:5" ht="17.25" customHeight="1">
      <c r="A118" s="500">
        <v>15</v>
      </c>
      <c r="B118" s="444"/>
      <c r="C118" s="502"/>
      <c r="D118" s="503" t="s">
        <v>87</v>
      </c>
      <c r="E118" s="496">
        <v>179989</v>
      </c>
    </row>
    <row r="119" spans="1:5" ht="18" customHeight="1">
      <c r="A119" s="500">
        <v>16</v>
      </c>
      <c r="B119" s="444"/>
      <c r="C119" s="502"/>
      <c r="D119" s="503" t="s">
        <v>88</v>
      </c>
      <c r="E119" s="496">
        <v>142843</v>
      </c>
    </row>
    <row r="120" spans="1:5" ht="16.5" customHeight="1">
      <c r="A120" s="500">
        <v>17</v>
      </c>
      <c r="B120" s="444"/>
      <c r="C120" s="502"/>
      <c r="D120" s="503" t="s">
        <v>89</v>
      </c>
      <c r="E120" s="497">
        <v>10670</v>
      </c>
    </row>
    <row r="121" spans="1:5" ht="23.25" customHeight="1">
      <c r="A121" s="500">
        <v>18</v>
      </c>
      <c r="B121" s="444"/>
      <c r="C121" s="502"/>
      <c r="D121" s="503" t="s">
        <v>90</v>
      </c>
      <c r="E121" s="505">
        <v>14653</v>
      </c>
    </row>
    <row r="122" spans="1:5" ht="15.75" customHeight="1">
      <c r="A122" s="449"/>
      <c r="B122" s="444"/>
      <c r="C122" s="502"/>
      <c r="D122" s="506" t="s">
        <v>704</v>
      </c>
      <c r="E122" s="499">
        <f>SUM(E123:E124)</f>
        <v>550334</v>
      </c>
    </row>
    <row r="123" spans="1:5" ht="17.25" customHeight="1">
      <c r="A123" s="500">
        <v>19</v>
      </c>
      <c r="B123" s="503" t="s">
        <v>91</v>
      </c>
      <c r="C123" s="502"/>
      <c r="D123" s="503" t="s">
        <v>92</v>
      </c>
      <c r="E123" s="496">
        <f>110564+19840</f>
        <v>130404</v>
      </c>
    </row>
    <row r="124" spans="1:5" ht="14.25" customHeight="1">
      <c r="A124" s="500">
        <v>20</v>
      </c>
      <c r="B124" s="507" t="s">
        <v>93</v>
      </c>
      <c r="C124" s="502"/>
      <c r="D124" s="503" t="s">
        <v>94</v>
      </c>
      <c r="E124" s="496">
        <f>389935+29995</f>
        <v>419930</v>
      </c>
    </row>
    <row r="125" spans="1:5" ht="15" customHeight="1">
      <c r="A125" s="500"/>
      <c r="B125" s="508"/>
      <c r="C125" s="502"/>
      <c r="D125" s="509" t="s">
        <v>705</v>
      </c>
      <c r="E125" s="499">
        <f>SUM(E126:E128)</f>
        <v>263486</v>
      </c>
    </row>
    <row r="126" spans="1:5" ht="15.75" customHeight="1">
      <c r="A126" s="500">
        <v>21</v>
      </c>
      <c r="B126" s="508"/>
      <c r="C126" s="502"/>
      <c r="D126" s="503" t="s">
        <v>95</v>
      </c>
      <c r="E126" s="496">
        <f>109352+8412</f>
        <v>117764</v>
      </c>
    </row>
    <row r="127" spans="1:5" ht="18" customHeight="1">
      <c r="A127" s="500">
        <v>22</v>
      </c>
      <c r="B127" s="508"/>
      <c r="C127" s="502"/>
      <c r="D127" s="503" t="s">
        <v>96</v>
      </c>
      <c r="E127" s="496">
        <v>7262</v>
      </c>
    </row>
    <row r="128" spans="1:5" ht="15.75" customHeight="1">
      <c r="A128" s="500">
        <v>23</v>
      </c>
      <c r="B128" s="508"/>
      <c r="C128" s="502"/>
      <c r="D128" s="503" t="s">
        <v>97</v>
      </c>
      <c r="E128" s="505">
        <v>138460</v>
      </c>
    </row>
    <row r="129" spans="1:5" ht="15" customHeight="1">
      <c r="A129" s="449"/>
      <c r="B129" s="444">
        <v>78</v>
      </c>
      <c r="C129" s="445"/>
      <c r="D129" s="498" t="s">
        <v>706</v>
      </c>
      <c r="E129" s="499">
        <f>SUM(E130:E132)</f>
        <v>342186</v>
      </c>
    </row>
    <row r="130" spans="1:5" ht="15.75" customHeight="1">
      <c r="A130" s="493">
        <v>24</v>
      </c>
      <c r="B130" s="444"/>
      <c r="C130" s="502"/>
      <c r="D130" s="501" t="s">
        <v>98</v>
      </c>
      <c r="E130" s="505">
        <v>59900</v>
      </c>
    </row>
    <row r="131" spans="1:5" ht="17.25" customHeight="1">
      <c r="A131" s="493">
        <v>25</v>
      </c>
      <c r="B131" s="444"/>
      <c r="C131" s="502"/>
      <c r="D131" s="501" t="s">
        <v>99</v>
      </c>
      <c r="E131" s="496">
        <v>104609</v>
      </c>
    </row>
    <row r="132" spans="1:5" ht="17.25" customHeight="1">
      <c r="A132" s="493">
        <v>26</v>
      </c>
      <c r="B132" s="444"/>
      <c r="C132" s="502"/>
      <c r="D132" s="501" t="s">
        <v>100</v>
      </c>
      <c r="E132" s="496">
        <v>177677</v>
      </c>
    </row>
    <row r="133" spans="1:5" ht="16.5" customHeight="1">
      <c r="A133" s="449"/>
      <c r="B133" s="444">
        <v>90</v>
      </c>
      <c r="C133" s="445"/>
      <c r="D133" s="510" t="s">
        <v>707</v>
      </c>
      <c r="E133" s="499">
        <f>SUM(E134:E134)</f>
        <v>8124</v>
      </c>
    </row>
    <row r="134" spans="1:5" ht="27" customHeight="1">
      <c r="A134" s="493">
        <v>27</v>
      </c>
      <c r="B134" s="444"/>
      <c r="C134" s="502"/>
      <c r="D134" s="503" t="s">
        <v>101</v>
      </c>
      <c r="E134" s="505">
        <v>8124</v>
      </c>
    </row>
    <row r="135" spans="1:5" ht="18" customHeight="1">
      <c r="A135" s="449"/>
      <c r="B135" s="444">
        <v>101</v>
      </c>
      <c r="C135" s="445"/>
      <c r="D135" s="511" t="s">
        <v>708</v>
      </c>
      <c r="E135" s="512">
        <f>SUM(E136:E141)</f>
        <v>1113822</v>
      </c>
    </row>
    <row r="136" spans="1:5" ht="15" customHeight="1">
      <c r="A136" s="500">
        <v>28</v>
      </c>
      <c r="B136" s="444"/>
      <c r="C136" s="502"/>
      <c r="D136" s="513" t="s">
        <v>102</v>
      </c>
      <c r="E136" s="496">
        <f>784308</f>
        <v>784308</v>
      </c>
    </row>
    <row r="137" spans="1:5" ht="15.75" customHeight="1">
      <c r="A137" s="500">
        <v>29</v>
      </c>
      <c r="B137" s="444"/>
      <c r="C137" s="502"/>
      <c r="D137" s="513" t="s">
        <v>103</v>
      </c>
      <c r="E137" s="496">
        <f>61274</f>
        <v>61274</v>
      </c>
    </row>
    <row r="138" spans="1:5" ht="15" customHeight="1">
      <c r="A138" s="500">
        <v>30</v>
      </c>
      <c r="B138" s="444"/>
      <c r="C138" s="502"/>
      <c r="D138" s="513" t="s">
        <v>104</v>
      </c>
      <c r="E138" s="496">
        <f>239460</f>
        <v>239460</v>
      </c>
    </row>
    <row r="139" spans="1:5" ht="15.75" customHeight="1">
      <c r="A139" s="500">
        <v>31</v>
      </c>
      <c r="B139" s="444"/>
      <c r="C139" s="502"/>
      <c r="D139" s="503" t="s">
        <v>105</v>
      </c>
      <c r="E139" s="505">
        <v>14703</v>
      </c>
    </row>
    <row r="140" spans="1:5" ht="18.75" customHeight="1">
      <c r="A140" s="500">
        <v>32</v>
      </c>
      <c r="B140" s="444"/>
      <c r="C140" s="502"/>
      <c r="D140" s="503" t="s">
        <v>106</v>
      </c>
      <c r="E140" s="505">
        <v>10723</v>
      </c>
    </row>
    <row r="141" spans="1:5" ht="18" customHeight="1">
      <c r="A141" s="500">
        <v>33</v>
      </c>
      <c r="B141" s="444"/>
      <c r="C141" s="502"/>
      <c r="D141" s="503" t="s">
        <v>107</v>
      </c>
      <c r="E141" s="505">
        <v>3354</v>
      </c>
    </row>
    <row r="142" spans="1:5" ht="12" customHeight="1">
      <c r="A142" s="500"/>
      <c r="B142" s="444"/>
      <c r="C142" s="502"/>
      <c r="D142" s="514" t="s">
        <v>709</v>
      </c>
      <c r="E142" s="512">
        <f>SUM(E143:E144)</f>
        <v>26064</v>
      </c>
    </row>
    <row r="143" spans="1:5" ht="12.75" customHeight="1">
      <c r="A143" s="500">
        <v>34</v>
      </c>
      <c r="B143" s="444"/>
      <c r="C143" s="502"/>
      <c r="D143" s="503" t="s">
        <v>108</v>
      </c>
      <c r="E143" s="497">
        <v>14754</v>
      </c>
    </row>
    <row r="144" spans="1:5" ht="17.25" customHeight="1">
      <c r="A144" s="500">
        <v>35</v>
      </c>
      <c r="B144" s="444"/>
      <c r="C144" s="502"/>
      <c r="D144" s="503" t="s">
        <v>109</v>
      </c>
      <c r="E144" s="497">
        <v>11310</v>
      </c>
    </row>
    <row r="145" spans="1:5" ht="14.25" customHeight="1">
      <c r="A145" s="515"/>
      <c r="D145" s="514" t="s">
        <v>712</v>
      </c>
      <c r="E145" s="516">
        <f>SUM(E146:E155)</f>
        <v>581992</v>
      </c>
    </row>
    <row r="146" spans="1:5" ht="16.5" customHeight="1">
      <c r="A146" s="515">
        <v>36</v>
      </c>
      <c r="D146" s="503" t="s">
        <v>110</v>
      </c>
      <c r="E146" s="505">
        <v>96966</v>
      </c>
    </row>
    <row r="147" spans="1:5" ht="15.75" customHeight="1">
      <c r="A147" s="515">
        <v>37</v>
      </c>
      <c r="D147" s="503" t="s">
        <v>111</v>
      </c>
      <c r="E147" s="517">
        <v>7282</v>
      </c>
    </row>
    <row r="148" spans="1:5" ht="15" customHeight="1">
      <c r="A148" s="515">
        <v>38</v>
      </c>
      <c r="D148" s="503" t="s">
        <v>112</v>
      </c>
      <c r="E148" s="517">
        <v>67879</v>
      </c>
    </row>
    <row r="149" spans="1:5" ht="17.25" customHeight="1">
      <c r="A149" s="515">
        <v>39</v>
      </c>
      <c r="D149" s="503" t="s">
        <v>113</v>
      </c>
      <c r="E149" s="496">
        <v>131331</v>
      </c>
    </row>
    <row r="150" spans="1:5" ht="15" customHeight="1">
      <c r="A150" s="515">
        <v>40</v>
      </c>
      <c r="D150" s="518" t="s">
        <v>114</v>
      </c>
      <c r="E150" s="519">
        <v>135252</v>
      </c>
    </row>
    <row r="151" spans="1:5" ht="16.5" customHeight="1">
      <c r="A151" s="515">
        <v>41</v>
      </c>
      <c r="D151" s="503" t="s">
        <v>115</v>
      </c>
      <c r="E151" s="517">
        <v>6338</v>
      </c>
    </row>
    <row r="152" spans="1:5" ht="16.5" customHeight="1">
      <c r="A152" s="515">
        <v>42</v>
      </c>
      <c r="D152" s="503" t="s">
        <v>116</v>
      </c>
      <c r="E152" s="517">
        <v>4849</v>
      </c>
    </row>
    <row r="153" spans="1:5" ht="15" customHeight="1">
      <c r="A153" s="515">
        <v>43</v>
      </c>
      <c r="D153" s="501" t="s">
        <v>117</v>
      </c>
      <c r="E153" s="505">
        <v>122397</v>
      </c>
    </row>
    <row r="154" spans="1:5" ht="15.75" customHeight="1">
      <c r="A154" s="515">
        <v>44</v>
      </c>
      <c r="D154" s="503" t="s">
        <v>118</v>
      </c>
      <c r="E154" s="517">
        <v>4849</v>
      </c>
    </row>
    <row r="155" spans="1:5" ht="15.75" customHeight="1">
      <c r="A155" s="515">
        <v>45</v>
      </c>
      <c r="D155" s="503" t="s">
        <v>119</v>
      </c>
      <c r="E155" s="505">
        <v>4849</v>
      </c>
    </row>
    <row r="156" spans="1:5" ht="14.25" customHeight="1">
      <c r="A156" s="443"/>
      <c r="D156" s="506" t="s">
        <v>713</v>
      </c>
      <c r="E156" s="499">
        <f>SUM(E157:E166)</f>
        <v>454637</v>
      </c>
    </row>
    <row r="157" spans="1:5" ht="14.25" customHeight="1">
      <c r="A157" s="500">
        <v>46</v>
      </c>
      <c r="D157" s="501" t="s">
        <v>120</v>
      </c>
      <c r="E157" s="505">
        <v>292800</v>
      </c>
    </row>
    <row r="158" spans="1:5" ht="26.25" customHeight="1">
      <c r="A158" s="500">
        <v>47</v>
      </c>
      <c r="D158" s="501" t="s">
        <v>121</v>
      </c>
      <c r="E158" s="505">
        <v>4310</v>
      </c>
    </row>
    <row r="159" spans="1:5" ht="13.5" customHeight="1">
      <c r="A159" s="500">
        <v>48</v>
      </c>
      <c r="D159" s="501" t="s">
        <v>122</v>
      </c>
      <c r="E159" s="496">
        <v>2337</v>
      </c>
    </row>
    <row r="160" spans="1:5" ht="13.5" customHeight="1">
      <c r="A160" s="500">
        <v>49</v>
      </c>
      <c r="D160" s="501" t="s">
        <v>123</v>
      </c>
      <c r="E160" s="497">
        <v>13638</v>
      </c>
    </row>
    <row r="161" spans="1:5" ht="23.25" customHeight="1">
      <c r="A161" s="500">
        <v>50</v>
      </c>
      <c r="D161" s="501" t="s">
        <v>124</v>
      </c>
      <c r="E161" s="505">
        <v>119920</v>
      </c>
    </row>
    <row r="162" spans="1:5" ht="15" customHeight="1">
      <c r="A162" s="500">
        <v>51</v>
      </c>
      <c r="D162" s="501" t="s">
        <v>125</v>
      </c>
      <c r="E162" s="505">
        <v>1931</v>
      </c>
    </row>
    <row r="163" spans="1:5" ht="11.25" customHeight="1">
      <c r="A163" s="500">
        <v>52</v>
      </c>
      <c r="D163" s="501" t="s">
        <v>126</v>
      </c>
      <c r="E163" s="505">
        <v>4406</v>
      </c>
    </row>
    <row r="164" spans="1:5" ht="27" customHeight="1">
      <c r="A164" s="500">
        <v>53</v>
      </c>
      <c r="D164" s="501" t="s">
        <v>127</v>
      </c>
      <c r="E164" s="496">
        <v>4174</v>
      </c>
    </row>
    <row r="165" spans="1:5" ht="12.75" customHeight="1">
      <c r="A165" s="500">
        <v>54</v>
      </c>
      <c r="D165" s="501" t="s">
        <v>128</v>
      </c>
      <c r="E165" s="505">
        <v>1325</v>
      </c>
    </row>
    <row r="166" spans="1:5" ht="27" customHeight="1">
      <c r="A166" s="500">
        <v>55</v>
      </c>
      <c r="D166" s="501" t="s">
        <v>129</v>
      </c>
      <c r="E166" s="505">
        <v>9796</v>
      </c>
    </row>
    <row r="167" spans="1:5" ht="16.5" customHeight="1">
      <c r="A167" s="500"/>
      <c r="D167" s="506" t="s">
        <v>714</v>
      </c>
      <c r="E167" s="499">
        <f>SUM(E168:E172)</f>
        <v>383529</v>
      </c>
    </row>
    <row r="168" spans="1:5" ht="13.5" customHeight="1">
      <c r="A168" s="500">
        <v>56</v>
      </c>
      <c r="D168" s="520" t="s">
        <v>130</v>
      </c>
      <c r="E168" s="521">
        <v>4858</v>
      </c>
    </row>
    <row r="169" spans="1:5" ht="18.75" customHeight="1">
      <c r="A169" s="500">
        <v>57</v>
      </c>
      <c r="D169" s="501" t="s">
        <v>131</v>
      </c>
      <c r="E169" s="517">
        <v>4902</v>
      </c>
    </row>
    <row r="170" spans="1:5" ht="16.5" customHeight="1">
      <c r="A170" s="500">
        <v>58</v>
      </c>
      <c r="D170" s="501" t="s">
        <v>132</v>
      </c>
      <c r="E170" s="517">
        <v>4895</v>
      </c>
    </row>
    <row r="171" spans="1:5" ht="18.75" customHeight="1">
      <c r="A171" s="500">
        <v>59</v>
      </c>
      <c r="D171" s="501" t="s">
        <v>133</v>
      </c>
      <c r="E171" s="517">
        <v>6167</v>
      </c>
    </row>
    <row r="172" spans="1:5" ht="18.75" customHeight="1">
      <c r="A172" s="500">
        <v>60</v>
      </c>
      <c r="D172" s="501" t="s">
        <v>134</v>
      </c>
      <c r="E172" s="521">
        <v>362707</v>
      </c>
    </row>
    <row r="173" spans="1:5" ht="14.25" customHeight="1">
      <c r="A173" s="500"/>
      <c r="D173" s="303" t="s">
        <v>135</v>
      </c>
      <c r="E173" s="522">
        <f>SUM(E174:E174)</f>
        <v>12022</v>
      </c>
    </row>
    <row r="174" spans="1:5" ht="17.25" customHeight="1">
      <c r="A174" s="493">
        <v>61</v>
      </c>
      <c r="B174" s="449"/>
      <c r="C174" s="449"/>
      <c r="D174" s="503" t="s">
        <v>136</v>
      </c>
      <c r="E174" s="505">
        <v>12022</v>
      </c>
    </row>
    <row r="175" spans="1:5" ht="14.25" customHeight="1">
      <c r="A175" s="493"/>
      <c r="B175" s="449"/>
      <c r="C175" s="449"/>
      <c r="D175" s="523" t="s">
        <v>137</v>
      </c>
      <c r="E175" s="499">
        <f>SUM(E176:E176)</f>
        <v>440419</v>
      </c>
    </row>
    <row r="176" spans="1:5" ht="16.5" customHeight="1">
      <c r="A176" s="493">
        <v>62</v>
      </c>
      <c r="B176" s="449"/>
      <c r="C176" s="449"/>
      <c r="D176" s="503" t="s">
        <v>138</v>
      </c>
      <c r="E176" s="505">
        <v>440419</v>
      </c>
    </row>
    <row r="177" spans="1:5" ht="15" customHeight="1">
      <c r="A177" s="493"/>
      <c r="B177" s="449"/>
      <c r="C177" s="449"/>
      <c r="D177" s="523" t="s">
        <v>139</v>
      </c>
      <c r="E177" s="499">
        <f>SUM(E178)</f>
        <v>120300</v>
      </c>
    </row>
    <row r="178" spans="1:5" ht="14.25" customHeight="1">
      <c r="A178" s="493">
        <v>63</v>
      </c>
      <c r="B178" s="449"/>
      <c r="C178" s="449"/>
      <c r="D178" s="503" t="s">
        <v>140</v>
      </c>
      <c r="E178" s="505">
        <v>120300</v>
      </c>
    </row>
    <row r="179" spans="1:5" ht="15.75" customHeight="1">
      <c r="A179" s="493"/>
      <c r="B179" s="449"/>
      <c r="C179" s="449"/>
      <c r="D179" s="523" t="s">
        <v>397</v>
      </c>
      <c r="E179" s="499">
        <f>SUM(E180:E181)</f>
        <v>28932.58</v>
      </c>
    </row>
    <row r="180" spans="1:5" ht="16.5" customHeight="1">
      <c r="A180" s="493">
        <v>64</v>
      </c>
      <c r="B180" s="449"/>
      <c r="C180" s="449"/>
      <c r="D180" s="503" t="s">
        <v>141</v>
      </c>
      <c r="E180" s="517">
        <f>2000+24999.58</f>
        <v>26999.58</v>
      </c>
    </row>
    <row r="181" spans="1:5" ht="15" customHeight="1">
      <c r="A181" s="493">
        <v>65</v>
      </c>
      <c r="B181" s="449"/>
      <c r="C181" s="449"/>
      <c r="D181" s="503" t="s">
        <v>142</v>
      </c>
      <c r="E181" s="517">
        <v>1933</v>
      </c>
    </row>
    <row r="182" spans="1:5" ht="15.75">
      <c r="A182" s="449"/>
      <c r="B182" s="449"/>
      <c r="C182" s="449"/>
      <c r="D182" s="510" t="s">
        <v>423</v>
      </c>
      <c r="E182" s="499">
        <f>SUM(E100+E104+E107+E117+E122+E125+E129+E133+E135+E142+E145+E156+E167+E173+E175+E177+E179)</f>
        <v>4862943.58</v>
      </c>
    </row>
    <row r="183" spans="1:5" ht="15.75">
      <c r="A183" s="440"/>
      <c r="B183" s="440"/>
      <c r="C183" s="440"/>
      <c r="D183" s="440"/>
      <c r="E183" s="524"/>
    </row>
    <row r="184" spans="1:5" ht="15.75">
      <c r="A184" s="525" t="s">
        <v>373</v>
      </c>
      <c r="B184" s="526"/>
      <c r="C184" s="526"/>
      <c r="E184" s="442" t="s">
        <v>375</v>
      </c>
    </row>
    <row r="185" ht="14.25" customHeight="1">
      <c r="D185" s="527"/>
    </row>
    <row r="187" ht="15.75">
      <c r="D187" s="528"/>
    </row>
  </sheetData>
  <mergeCells count="7">
    <mergeCell ref="B87:E87"/>
    <mergeCell ref="B5:E5"/>
    <mergeCell ref="B6:E6"/>
    <mergeCell ref="A8:A9"/>
    <mergeCell ref="B8:B9"/>
    <mergeCell ref="D8:D9"/>
    <mergeCell ref="E8:E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84"/>
  <sheetViews>
    <sheetView workbookViewId="0" topLeftCell="A1">
      <selection activeCell="B108" sqref="B108"/>
    </sheetView>
  </sheetViews>
  <sheetFormatPr defaultColWidth="9.33203125" defaultRowHeight="12.75"/>
  <cols>
    <col min="1" max="1" width="4.83203125" style="437" customWidth="1"/>
    <col min="2" max="2" width="101.83203125" style="437" customWidth="1"/>
    <col min="3" max="3" width="6.66015625" style="437" hidden="1" customWidth="1"/>
    <col min="4" max="4" width="23" style="438" customWidth="1"/>
    <col min="5" max="5" width="13.33203125" style="437" hidden="1" customWidth="1"/>
    <col min="6" max="6" width="10.66015625" style="437" hidden="1" customWidth="1"/>
    <col min="7" max="16384" width="9.33203125" style="437" customWidth="1"/>
  </cols>
  <sheetData>
    <row r="2" spans="1:4" ht="15.75">
      <c r="A2" s="440"/>
      <c r="B2" s="440"/>
      <c r="C2" s="440"/>
      <c r="D2" s="529" t="s">
        <v>143</v>
      </c>
    </row>
    <row r="3" spans="1:4" ht="15.75">
      <c r="A3" s="440"/>
      <c r="B3" s="440"/>
      <c r="C3" s="440"/>
      <c r="D3" s="529" t="s">
        <v>49</v>
      </c>
    </row>
    <row r="4" spans="1:4" ht="15.75">
      <c r="A4" s="440"/>
      <c r="B4" s="440"/>
      <c r="C4" s="440"/>
      <c r="D4" s="529" t="s">
        <v>50</v>
      </c>
    </row>
    <row r="5" spans="1:4" ht="47.25" customHeight="1">
      <c r="A5" s="633" t="s">
        <v>144</v>
      </c>
      <c r="B5" s="633"/>
      <c r="C5" s="633"/>
      <c r="D5" s="633"/>
    </row>
    <row r="6" spans="1:4" ht="15" customHeight="1">
      <c r="A6" s="530"/>
      <c r="B6" s="531"/>
      <c r="C6" s="531"/>
      <c r="D6" s="442" t="s">
        <v>417</v>
      </c>
    </row>
    <row r="7" spans="1:4" ht="24.75" customHeight="1">
      <c r="A7" s="640" t="s">
        <v>683</v>
      </c>
      <c r="B7" s="640" t="s">
        <v>54</v>
      </c>
      <c r="C7" s="641" t="s">
        <v>145</v>
      </c>
      <c r="D7" s="642" t="s">
        <v>55</v>
      </c>
    </row>
    <row r="8" spans="1:4" ht="16.5" customHeight="1">
      <c r="A8" s="640"/>
      <c r="B8" s="640"/>
      <c r="C8" s="641"/>
      <c r="D8" s="642"/>
    </row>
    <row r="9" spans="1:4" ht="14.25" customHeight="1">
      <c r="A9" s="446">
        <v>1</v>
      </c>
      <c r="B9" s="446">
        <v>2</v>
      </c>
      <c r="C9" s="446">
        <v>3</v>
      </c>
      <c r="D9" s="448">
        <v>3</v>
      </c>
    </row>
    <row r="10" spans="1:4" ht="14.25" customHeight="1" hidden="1">
      <c r="A10" s="449"/>
      <c r="B10" s="302" t="s">
        <v>699</v>
      </c>
      <c r="C10" s="302"/>
      <c r="D10" s="460"/>
    </row>
    <row r="11" spans="1:4" ht="30.75" customHeight="1" hidden="1">
      <c r="A11" s="449"/>
      <c r="B11" s="302"/>
      <c r="C11" s="302"/>
      <c r="D11" s="460"/>
    </row>
    <row r="12" spans="1:4" ht="30.75" customHeight="1" hidden="1">
      <c r="A12" s="449"/>
      <c r="B12" s="302"/>
      <c r="C12" s="302"/>
      <c r="D12" s="460"/>
    </row>
    <row r="13" spans="1:4" ht="14.25" customHeight="1" hidden="1">
      <c r="A13" s="449"/>
      <c r="B13" s="302"/>
      <c r="C13" s="302"/>
      <c r="D13" s="460"/>
    </row>
    <row r="14" spans="1:4" ht="36" customHeight="1" hidden="1">
      <c r="A14" s="449"/>
      <c r="B14" s="461"/>
      <c r="C14" s="461"/>
      <c r="D14" s="462"/>
    </row>
    <row r="15" spans="1:4" ht="14.25" customHeight="1" hidden="1">
      <c r="A15" s="449"/>
      <c r="B15" s="510" t="s">
        <v>56</v>
      </c>
      <c r="C15" s="461"/>
      <c r="D15" s="462"/>
    </row>
    <row r="16" spans="1:4" ht="32.25" customHeight="1" hidden="1">
      <c r="A16" s="449"/>
      <c r="B16" s="461"/>
      <c r="C16" s="461"/>
      <c r="D16" s="462"/>
    </row>
    <row r="17" spans="1:4" ht="30.75" customHeight="1" hidden="1">
      <c r="A17" s="449"/>
      <c r="B17" s="461"/>
      <c r="C17" s="461"/>
      <c r="D17" s="462"/>
    </row>
    <row r="18" spans="1:4" ht="33.75" customHeight="1" hidden="1">
      <c r="A18" s="449"/>
      <c r="B18" s="461"/>
      <c r="C18" s="461"/>
      <c r="D18" s="462"/>
    </row>
    <row r="19" spans="1:4" ht="34.5" customHeight="1" hidden="1">
      <c r="A19" s="449"/>
      <c r="B19" s="461"/>
      <c r="C19" s="461"/>
      <c r="D19" s="462"/>
    </row>
    <row r="20" spans="1:4" ht="15" customHeight="1" hidden="1">
      <c r="A20" s="449"/>
      <c r="B20" s="510" t="s">
        <v>57</v>
      </c>
      <c r="C20" s="461"/>
      <c r="D20" s="462"/>
    </row>
    <row r="21" spans="1:4" ht="45.75" customHeight="1" hidden="1">
      <c r="A21" s="449"/>
      <c r="B21" s="461"/>
      <c r="C21" s="461"/>
      <c r="D21" s="462"/>
    </row>
    <row r="22" spans="1:4" ht="30" customHeight="1" hidden="1">
      <c r="A22" s="449"/>
      <c r="B22" s="461"/>
      <c r="C22" s="461"/>
      <c r="D22" s="462"/>
    </row>
    <row r="23" spans="1:4" ht="29.25" customHeight="1" hidden="1">
      <c r="A23" s="449"/>
      <c r="B23" s="461"/>
      <c r="C23" s="461"/>
      <c r="D23" s="462"/>
    </row>
    <row r="24" spans="1:4" ht="30.75" customHeight="1" hidden="1">
      <c r="A24" s="449"/>
      <c r="B24" s="461"/>
      <c r="C24" s="461"/>
      <c r="D24" s="462"/>
    </row>
    <row r="25" spans="1:4" ht="17.25" customHeight="1" hidden="1">
      <c r="A25" s="449"/>
      <c r="B25" s="461" t="s">
        <v>58</v>
      </c>
      <c r="C25" s="461"/>
      <c r="D25" s="462"/>
    </row>
    <row r="26" spans="1:4" ht="30" customHeight="1" hidden="1">
      <c r="A26" s="449"/>
      <c r="B26" s="461"/>
      <c r="C26" s="461"/>
      <c r="D26" s="462"/>
    </row>
    <row r="27" spans="1:4" ht="30" customHeight="1" hidden="1">
      <c r="A27" s="449"/>
      <c r="B27" s="461"/>
      <c r="C27" s="461"/>
      <c r="D27" s="462"/>
    </row>
    <row r="28" spans="1:4" ht="18" customHeight="1" hidden="1">
      <c r="A28" s="449"/>
      <c r="B28" s="461" t="s">
        <v>59</v>
      </c>
      <c r="C28" s="461"/>
      <c r="D28" s="462"/>
    </row>
    <row r="29" spans="1:4" ht="28.5" customHeight="1" hidden="1">
      <c r="A29" s="449"/>
      <c r="B29" s="461"/>
      <c r="C29" s="461"/>
      <c r="D29" s="462"/>
    </row>
    <row r="30" spans="1:4" ht="33.75" customHeight="1" hidden="1">
      <c r="A30" s="449"/>
      <c r="B30" s="461"/>
      <c r="C30" s="461"/>
      <c r="D30" s="462"/>
    </row>
    <row r="31" spans="1:4" ht="9" customHeight="1" hidden="1">
      <c r="A31" s="449"/>
      <c r="B31" s="461"/>
      <c r="C31" s="461"/>
      <c r="D31" s="462"/>
    </row>
    <row r="32" spans="1:4" ht="27" customHeight="1" hidden="1">
      <c r="A32" s="449"/>
      <c r="B32" s="461"/>
      <c r="C32" s="461"/>
      <c r="D32" s="462"/>
    </row>
    <row r="33" spans="1:4" ht="15.75" customHeight="1" hidden="1">
      <c r="A33" s="449"/>
      <c r="B33" s="461" t="s">
        <v>60</v>
      </c>
      <c r="C33" s="461"/>
      <c r="D33" s="462"/>
    </row>
    <row r="34" spans="1:4" ht="33" customHeight="1" hidden="1">
      <c r="A34" s="449"/>
      <c r="B34" s="461"/>
      <c r="C34" s="461"/>
      <c r="D34" s="462"/>
    </row>
    <row r="35" spans="1:4" ht="33" customHeight="1" hidden="1">
      <c r="A35" s="449"/>
      <c r="B35" s="461"/>
      <c r="C35" s="461"/>
      <c r="D35" s="462"/>
    </row>
    <row r="36" spans="1:4" ht="33" customHeight="1" hidden="1">
      <c r="A36" s="449"/>
      <c r="B36" s="461"/>
      <c r="C36" s="461"/>
      <c r="D36" s="462"/>
    </row>
    <row r="37" spans="1:4" ht="32.25" customHeight="1" hidden="1">
      <c r="A37" s="449"/>
      <c r="B37" s="461"/>
      <c r="C37" s="461"/>
      <c r="D37" s="462"/>
    </row>
    <row r="38" spans="1:4" ht="17.25" customHeight="1" hidden="1">
      <c r="A38" s="481"/>
      <c r="B38" s="482" t="s">
        <v>61</v>
      </c>
      <c r="C38" s="482"/>
      <c r="D38" s="483"/>
    </row>
    <row r="39" spans="1:4" ht="50.25" customHeight="1" hidden="1">
      <c r="A39" s="481"/>
      <c r="B39" s="482"/>
      <c r="C39" s="482"/>
      <c r="D39" s="483"/>
    </row>
    <row r="40" spans="1:4" ht="29.25" customHeight="1" hidden="1">
      <c r="A40" s="481"/>
      <c r="B40" s="482"/>
      <c r="C40" s="482"/>
      <c r="D40" s="483"/>
    </row>
    <row r="41" spans="1:4" ht="34.5" customHeight="1" hidden="1">
      <c r="A41" s="481"/>
      <c r="B41" s="482"/>
      <c r="C41" s="482"/>
      <c r="D41" s="483"/>
    </row>
    <row r="42" spans="1:4" ht="37.5" customHeight="1" hidden="1">
      <c r="A42" s="481"/>
      <c r="B42" s="482"/>
      <c r="C42" s="482"/>
      <c r="D42" s="483"/>
    </row>
    <row r="43" spans="1:4" ht="36" customHeight="1" hidden="1">
      <c r="A43" s="449"/>
      <c r="B43" s="461"/>
      <c r="C43" s="461"/>
      <c r="D43" s="462"/>
    </row>
    <row r="44" spans="1:4" ht="16.5" customHeight="1" hidden="1">
      <c r="A44" s="449"/>
      <c r="B44" s="461" t="s">
        <v>62</v>
      </c>
      <c r="C44" s="461"/>
      <c r="D44" s="462"/>
    </row>
    <row r="45" spans="1:4" ht="30.75" customHeight="1" hidden="1">
      <c r="A45" s="449"/>
      <c r="B45" s="461"/>
      <c r="C45" s="461"/>
      <c r="D45" s="462"/>
    </row>
    <row r="46" spans="1:4" ht="36" customHeight="1" hidden="1">
      <c r="A46" s="449"/>
      <c r="B46" s="461"/>
      <c r="C46" s="461"/>
      <c r="D46" s="462"/>
    </row>
    <row r="47" spans="1:4" ht="36" customHeight="1" hidden="1">
      <c r="A47" s="449"/>
      <c r="B47" s="461"/>
      <c r="C47" s="461"/>
      <c r="D47" s="462"/>
    </row>
    <row r="48" spans="1:4" ht="36.75" customHeight="1" hidden="1">
      <c r="A48" s="449"/>
      <c r="B48" s="461"/>
      <c r="C48" s="461"/>
      <c r="D48" s="462"/>
    </row>
    <row r="49" spans="1:4" ht="33.75" customHeight="1" hidden="1">
      <c r="A49" s="449"/>
      <c r="B49" s="461"/>
      <c r="C49" s="461"/>
      <c r="D49" s="462"/>
    </row>
    <row r="50" spans="1:4" ht="33" customHeight="1" hidden="1">
      <c r="A50" s="449"/>
      <c r="B50" s="461"/>
      <c r="C50" s="461"/>
      <c r="D50" s="462"/>
    </row>
    <row r="51" spans="1:4" ht="18" customHeight="1" hidden="1">
      <c r="A51" s="481"/>
      <c r="B51" s="482" t="s">
        <v>63</v>
      </c>
      <c r="C51" s="482"/>
      <c r="D51" s="483"/>
    </row>
    <row r="52" spans="1:4" ht="60" customHeight="1" hidden="1">
      <c r="A52" s="449"/>
      <c r="B52" s="461"/>
      <c r="C52" s="461"/>
      <c r="D52" s="462"/>
    </row>
    <row r="53" spans="1:4" ht="33" customHeight="1" hidden="1">
      <c r="A53" s="449"/>
      <c r="B53" s="461"/>
      <c r="C53" s="461"/>
      <c r="D53" s="462"/>
    </row>
    <row r="54" spans="1:4" ht="35.25" customHeight="1" hidden="1">
      <c r="A54" s="449"/>
      <c r="B54" s="461"/>
      <c r="C54" s="461"/>
      <c r="D54" s="462"/>
    </row>
    <row r="55" spans="1:4" ht="15.75" customHeight="1" hidden="1">
      <c r="A55" s="449"/>
      <c r="B55" s="461" t="s">
        <v>64</v>
      </c>
      <c r="C55" s="461"/>
      <c r="D55" s="462"/>
    </row>
    <row r="56" spans="1:4" ht="34.5" customHeight="1" hidden="1">
      <c r="A56" s="449"/>
      <c r="B56" s="461"/>
      <c r="C56" s="461"/>
      <c r="D56" s="462"/>
    </row>
    <row r="57" spans="1:4" ht="27.75" customHeight="1" hidden="1">
      <c r="A57" s="449"/>
      <c r="B57" s="461"/>
      <c r="C57" s="461"/>
      <c r="D57" s="462"/>
    </row>
    <row r="58" spans="1:4" ht="31.5" customHeight="1" hidden="1">
      <c r="A58" s="449"/>
      <c r="B58" s="461"/>
      <c r="C58" s="461"/>
      <c r="D58" s="462"/>
    </row>
    <row r="59" spans="1:4" ht="17.25" customHeight="1" hidden="1">
      <c r="A59" s="449"/>
      <c r="B59" s="461" t="s">
        <v>65</v>
      </c>
      <c r="C59" s="461"/>
      <c r="D59" s="462"/>
    </row>
    <row r="60" spans="1:4" ht="29.25" customHeight="1" hidden="1">
      <c r="A60" s="449"/>
      <c r="B60" s="461"/>
      <c r="C60" s="461"/>
      <c r="D60" s="462"/>
    </row>
    <row r="61" spans="1:4" ht="43.5" customHeight="1" hidden="1">
      <c r="A61" s="449"/>
      <c r="B61" s="461"/>
      <c r="C61" s="461"/>
      <c r="D61" s="462"/>
    </row>
    <row r="62" spans="1:4" ht="31.5" customHeight="1" hidden="1">
      <c r="A62" s="449"/>
      <c r="B62" s="461"/>
      <c r="C62" s="461"/>
      <c r="D62" s="462"/>
    </row>
    <row r="63" spans="1:4" ht="35.25" customHeight="1" hidden="1">
      <c r="A63" s="449"/>
      <c r="B63" s="461"/>
      <c r="C63" s="461"/>
      <c r="D63" s="462"/>
    </row>
    <row r="64" spans="1:4" ht="18" customHeight="1" hidden="1">
      <c r="A64" s="449"/>
      <c r="B64" s="461" t="s">
        <v>66</v>
      </c>
      <c r="C64" s="461"/>
      <c r="D64" s="462"/>
    </row>
    <row r="65" spans="1:4" ht="32.25" customHeight="1" hidden="1">
      <c r="A65" s="449"/>
      <c r="B65" s="461"/>
      <c r="C65" s="461"/>
      <c r="D65" s="462"/>
    </row>
    <row r="66" spans="1:4" ht="30" customHeight="1" hidden="1">
      <c r="A66" s="449"/>
      <c r="B66" s="461"/>
      <c r="C66" s="461"/>
      <c r="D66" s="462"/>
    </row>
    <row r="67" spans="1:4" ht="35.25" customHeight="1" hidden="1">
      <c r="A67" s="449"/>
      <c r="B67" s="461"/>
      <c r="C67" s="461"/>
      <c r="D67" s="462"/>
    </row>
    <row r="68" spans="1:4" ht="35.25" customHeight="1" hidden="1">
      <c r="A68" s="449"/>
      <c r="B68" s="461"/>
      <c r="C68" s="461"/>
      <c r="D68" s="462"/>
    </row>
    <row r="69" spans="1:4" ht="31.5" customHeight="1" hidden="1">
      <c r="A69" s="449"/>
      <c r="B69" s="461"/>
      <c r="C69" s="461"/>
      <c r="D69" s="462"/>
    </row>
    <row r="70" spans="1:4" ht="31.5" customHeight="1" hidden="1">
      <c r="A70" s="449"/>
      <c r="B70" s="461"/>
      <c r="C70" s="461"/>
      <c r="D70" s="462"/>
    </row>
    <row r="71" spans="1:4" ht="18.75" customHeight="1" hidden="1">
      <c r="A71" s="449"/>
      <c r="B71" s="510" t="s">
        <v>67</v>
      </c>
      <c r="C71" s="461"/>
      <c r="D71" s="462"/>
    </row>
    <row r="72" spans="1:4" ht="38.25" customHeight="1" hidden="1">
      <c r="A72" s="449"/>
      <c r="B72" s="461"/>
      <c r="C72" s="461"/>
      <c r="D72" s="462"/>
    </row>
    <row r="73" spans="1:4" ht="50.25" customHeight="1" hidden="1">
      <c r="A73" s="449"/>
      <c r="B73" s="461"/>
      <c r="C73" s="461"/>
      <c r="D73" s="462"/>
    </row>
    <row r="74" spans="1:4" ht="21.75" customHeight="1" hidden="1">
      <c r="A74" s="449"/>
      <c r="B74" s="461"/>
      <c r="C74" s="461"/>
      <c r="D74" s="462"/>
    </row>
    <row r="75" spans="1:4" ht="28.5" customHeight="1" hidden="1">
      <c r="A75" s="449"/>
      <c r="B75" s="461"/>
      <c r="C75" s="461"/>
      <c r="D75" s="462"/>
    </row>
    <row r="76" spans="1:4" ht="20.25" customHeight="1" hidden="1">
      <c r="A76" s="449"/>
      <c r="B76" s="461"/>
      <c r="C76" s="461"/>
      <c r="D76" s="462"/>
    </row>
    <row r="77" spans="1:4" ht="23.25" customHeight="1" hidden="1">
      <c r="A77" s="449"/>
      <c r="B77" s="461"/>
      <c r="C77" s="461"/>
      <c r="D77" s="462"/>
    </row>
    <row r="78" spans="1:4" ht="79.5" customHeight="1" hidden="1">
      <c r="A78" s="449"/>
      <c r="B78" s="461"/>
      <c r="C78" s="461"/>
      <c r="D78" s="462"/>
    </row>
    <row r="79" spans="1:4" ht="65.25" customHeight="1" hidden="1">
      <c r="A79" s="449"/>
      <c r="B79" s="461"/>
      <c r="C79" s="461"/>
      <c r="D79" s="462"/>
    </row>
    <row r="80" spans="1:4" ht="45" customHeight="1" hidden="1">
      <c r="A80" s="449"/>
      <c r="B80" s="461"/>
      <c r="C80" s="461"/>
      <c r="D80" s="462"/>
    </row>
    <row r="81" spans="1:4" ht="42.75" customHeight="1" hidden="1">
      <c r="A81" s="449"/>
      <c r="B81" s="461"/>
      <c r="C81" s="461"/>
      <c r="D81" s="462"/>
    </row>
    <row r="82" spans="1:4" ht="3.75" customHeight="1" hidden="1">
      <c r="A82" s="449"/>
      <c r="B82" s="461"/>
      <c r="C82" s="461"/>
      <c r="D82" s="462"/>
    </row>
    <row r="83" spans="1:4" ht="34.5" customHeight="1" hidden="1">
      <c r="A83" s="449"/>
      <c r="B83" s="461"/>
      <c r="C83" s="461"/>
      <c r="D83" s="462"/>
    </row>
    <row r="84" spans="1:4" ht="51" customHeight="1" hidden="1">
      <c r="A84" s="449"/>
      <c r="B84" s="461"/>
      <c r="C84" s="461"/>
      <c r="D84" s="462"/>
    </row>
    <row r="85" spans="1:4" ht="15.75" customHeight="1" hidden="1">
      <c r="A85" s="639" t="s">
        <v>68</v>
      </c>
      <c r="B85" s="631"/>
      <c r="C85" s="631"/>
      <c r="D85" s="631"/>
    </row>
    <row r="86" spans="1:4" ht="33.75" customHeight="1" hidden="1">
      <c r="A86" s="461"/>
      <c r="B86" s="461"/>
      <c r="C86" s="461"/>
      <c r="D86" s="462"/>
    </row>
    <row r="87" spans="1:4" ht="78" customHeight="1" hidden="1">
      <c r="A87" s="461"/>
      <c r="B87" s="461"/>
      <c r="C87" s="461"/>
      <c r="D87" s="462"/>
    </row>
    <row r="88" spans="1:4" ht="36" customHeight="1" hidden="1">
      <c r="A88" s="461"/>
      <c r="B88" s="461"/>
      <c r="C88" s="461"/>
      <c r="D88" s="489"/>
    </row>
    <row r="89" spans="1:4" ht="36" customHeight="1" hidden="1">
      <c r="A89" s="461"/>
      <c r="B89" s="461"/>
      <c r="C89" s="461"/>
      <c r="D89" s="489"/>
    </row>
    <row r="90" spans="1:4" ht="40.5" customHeight="1" hidden="1">
      <c r="A90" s="461"/>
      <c r="B90" s="461"/>
      <c r="C90" s="461"/>
      <c r="D90" s="489"/>
    </row>
    <row r="91" spans="1:4" ht="36" customHeight="1" hidden="1">
      <c r="A91" s="449"/>
      <c r="B91" s="461"/>
      <c r="C91" s="461"/>
      <c r="D91" s="462"/>
    </row>
    <row r="92" spans="1:4" ht="16.5" customHeight="1" hidden="1">
      <c r="A92" s="449"/>
      <c r="B92" s="461" t="s">
        <v>69</v>
      </c>
      <c r="C92" s="461"/>
      <c r="D92" s="462"/>
    </row>
    <row r="93" spans="1:4" ht="60" customHeight="1" hidden="1">
      <c r="A93" s="449"/>
      <c r="B93" s="461"/>
      <c r="C93" s="461"/>
      <c r="D93" s="462"/>
    </row>
    <row r="94" spans="1:4" ht="58.5" customHeight="1" hidden="1">
      <c r="A94" s="449"/>
      <c r="B94" s="461"/>
      <c r="C94" s="461"/>
      <c r="D94" s="462"/>
    </row>
    <row r="95" spans="1:4" ht="32.25" customHeight="1" hidden="1">
      <c r="A95" s="449"/>
      <c r="B95" s="461"/>
      <c r="C95" s="461"/>
      <c r="D95" s="462"/>
    </row>
    <row r="96" spans="1:4" ht="33.75" customHeight="1" hidden="1">
      <c r="A96" s="449"/>
      <c r="B96" s="461"/>
      <c r="C96" s="461"/>
      <c r="D96" s="462"/>
    </row>
    <row r="97" spans="1:4" ht="33.75" customHeight="1" hidden="1">
      <c r="A97" s="449"/>
      <c r="B97" s="461"/>
      <c r="C97" s="461"/>
      <c r="D97" s="462"/>
    </row>
    <row r="98" spans="1:4" ht="14.25" customHeight="1">
      <c r="A98" s="449"/>
      <c r="B98" s="533" t="s">
        <v>699</v>
      </c>
      <c r="C98" s="449"/>
      <c r="D98" s="534">
        <f>SUM(D99:D100)</f>
        <v>116668</v>
      </c>
    </row>
    <row r="99" spans="1:4" ht="17.25" customHeight="1">
      <c r="A99" s="535">
        <v>1</v>
      </c>
      <c r="B99" s="503" t="s">
        <v>146</v>
      </c>
      <c r="C99" s="536">
        <v>2133</v>
      </c>
      <c r="D99" s="532">
        <v>18483</v>
      </c>
    </row>
    <row r="100" spans="1:4" ht="17.25" customHeight="1">
      <c r="A100" s="535">
        <v>2</v>
      </c>
      <c r="B100" s="537" t="s">
        <v>147</v>
      </c>
      <c r="C100" s="538">
        <v>1134</v>
      </c>
      <c r="D100" s="532">
        <v>98185</v>
      </c>
    </row>
    <row r="101" spans="1:4" ht="14.25" customHeight="1">
      <c r="A101" s="539"/>
      <c r="B101" s="540" t="s">
        <v>73</v>
      </c>
      <c r="C101" s="538"/>
      <c r="D101" s="534">
        <f>SUM(D102:D102)</f>
        <v>14919</v>
      </c>
    </row>
    <row r="102" spans="1:4" ht="16.5" customHeight="1">
      <c r="A102" s="535">
        <v>3</v>
      </c>
      <c r="B102" s="503" t="s">
        <v>148</v>
      </c>
      <c r="C102" s="541"/>
      <c r="D102" s="532">
        <f>88779-73860</f>
        <v>14919</v>
      </c>
    </row>
    <row r="103" spans="1:4" ht="16.5" customHeight="1">
      <c r="A103" s="542"/>
      <c r="B103" s="540" t="s">
        <v>701</v>
      </c>
      <c r="C103" s="543"/>
      <c r="D103" s="534">
        <f>SUM(D104:D111)</f>
        <v>1012180</v>
      </c>
    </row>
    <row r="104" spans="1:4" ht="18" customHeight="1">
      <c r="A104" s="535">
        <v>5</v>
      </c>
      <c r="B104" s="544" t="s">
        <v>149</v>
      </c>
      <c r="C104" s="545">
        <v>2133</v>
      </c>
      <c r="D104" s="532">
        <f>186884+9836</f>
        <v>196720</v>
      </c>
    </row>
    <row r="105" spans="1:4" ht="17.25" customHeight="1">
      <c r="A105" s="545">
        <v>6</v>
      </c>
      <c r="B105" s="503" t="s">
        <v>150</v>
      </c>
      <c r="C105" s="545"/>
      <c r="D105" s="532">
        <f aca="true" t="shared" si="0" ref="D105:D110">97560</f>
        <v>97560</v>
      </c>
    </row>
    <row r="106" spans="1:4" ht="18.75" customHeight="1">
      <c r="A106" s="545">
        <v>7</v>
      </c>
      <c r="B106" s="503" t="s">
        <v>151</v>
      </c>
      <c r="C106" s="545"/>
      <c r="D106" s="532">
        <f t="shared" si="0"/>
        <v>97560</v>
      </c>
    </row>
    <row r="107" spans="1:4" ht="16.5" customHeight="1">
      <c r="A107" s="535">
        <v>8</v>
      </c>
      <c r="B107" s="546" t="s">
        <v>152</v>
      </c>
      <c r="C107" s="545"/>
      <c r="D107" s="532">
        <f t="shared" si="0"/>
        <v>97560</v>
      </c>
    </row>
    <row r="108" spans="1:4" ht="20.25" customHeight="1">
      <c r="A108" s="547">
        <v>10</v>
      </c>
      <c r="B108" s="503" t="s">
        <v>153</v>
      </c>
      <c r="C108" s="545"/>
      <c r="D108" s="532">
        <f t="shared" si="0"/>
        <v>97560</v>
      </c>
    </row>
    <row r="109" spans="1:4" ht="18.75" customHeight="1">
      <c r="A109" s="535">
        <v>11</v>
      </c>
      <c r="B109" s="503" t="s">
        <v>154</v>
      </c>
      <c r="C109" s="545"/>
      <c r="D109" s="532">
        <f t="shared" si="0"/>
        <v>97560</v>
      </c>
    </row>
    <row r="110" spans="1:4" ht="20.25" customHeight="1">
      <c r="A110" s="547">
        <v>12</v>
      </c>
      <c r="B110" s="503" t="s">
        <v>155</v>
      </c>
      <c r="C110" s="545"/>
      <c r="D110" s="532">
        <f t="shared" si="0"/>
        <v>97560</v>
      </c>
    </row>
    <row r="111" spans="1:4" ht="17.25" customHeight="1">
      <c r="A111" s="547">
        <v>13</v>
      </c>
      <c r="B111" s="503" t="s">
        <v>156</v>
      </c>
      <c r="C111" s="545"/>
      <c r="D111" s="532">
        <v>230100</v>
      </c>
    </row>
    <row r="112" spans="1:4" ht="16.5" customHeight="1">
      <c r="A112" s="542"/>
      <c r="B112" s="540" t="s">
        <v>702</v>
      </c>
      <c r="C112" s="548"/>
      <c r="D112" s="534">
        <f>SUM(D113:D113)</f>
        <v>142734</v>
      </c>
    </row>
    <row r="113" spans="1:4" ht="21" customHeight="1">
      <c r="A113" s="535">
        <v>15</v>
      </c>
      <c r="B113" s="549" t="s">
        <v>157</v>
      </c>
      <c r="C113" s="545"/>
      <c r="D113" s="532">
        <v>142734</v>
      </c>
    </row>
    <row r="114" spans="1:4" ht="15.75" customHeight="1">
      <c r="A114" s="542"/>
      <c r="B114" s="550" t="s">
        <v>703</v>
      </c>
      <c r="C114" s="548"/>
      <c r="D114" s="534">
        <f>SUM(D115:D115)</f>
        <v>78840</v>
      </c>
    </row>
    <row r="115" spans="1:4" ht="18.75" customHeight="1">
      <c r="A115" s="535">
        <v>18</v>
      </c>
      <c r="B115" s="551" t="s">
        <v>158</v>
      </c>
      <c r="C115" s="545"/>
      <c r="D115" s="532">
        <f>78840</f>
        <v>78840</v>
      </c>
    </row>
    <row r="116" spans="1:4" ht="15.75" customHeight="1">
      <c r="A116" s="542"/>
      <c r="B116" s="555" t="s">
        <v>705</v>
      </c>
      <c r="C116" s="548"/>
      <c r="D116" s="534">
        <f>SUM(D117)</f>
        <v>13936</v>
      </c>
    </row>
    <row r="117" spans="1:4" ht="19.5" customHeight="1">
      <c r="A117" s="535">
        <v>25</v>
      </c>
      <c r="B117" s="556" t="s">
        <v>159</v>
      </c>
      <c r="C117" s="545"/>
      <c r="D117" s="532">
        <v>13936</v>
      </c>
    </row>
    <row r="118" spans="1:4" ht="16.5" customHeight="1">
      <c r="A118" s="542"/>
      <c r="B118" s="557" t="s">
        <v>706</v>
      </c>
      <c r="C118" s="548"/>
      <c r="D118" s="534">
        <f>SUM(D119:D120)</f>
        <v>191297</v>
      </c>
    </row>
    <row r="119" spans="1:4" ht="16.5" customHeight="1">
      <c r="A119" s="535">
        <v>26</v>
      </c>
      <c r="B119" s="501" t="s">
        <v>160</v>
      </c>
      <c r="C119" s="545"/>
      <c r="D119" s="532">
        <f>93191</f>
        <v>93191</v>
      </c>
    </row>
    <row r="120" spans="1:4" ht="20.25" customHeight="1">
      <c r="A120" s="535">
        <v>29</v>
      </c>
      <c r="B120" s="558" t="s">
        <v>161</v>
      </c>
      <c r="C120" s="545"/>
      <c r="D120" s="532">
        <f>98106</f>
        <v>98106</v>
      </c>
    </row>
    <row r="121" spans="1:4" ht="14.25" customHeight="1">
      <c r="A121" s="542"/>
      <c r="B121" s="559" t="s">
        <v>707</v>
      </c>
      <c r="C121" s="548"/>
      <c r="D121" s="534">
        <f>SUM(D122)</f>
        <v>394253</v>
      </c>
    </row>
    <row r="122" spans="1:4" ht="15.75" customHeight="1">
      <c r="A122" s="535">
        <v>30</v>
      </c>
      <c r="B122" s="558" t="s">
        <v>162</v>
      </c>
      <c r="C122" s="545"/>
      <c r="D122" s="532">
        <v>394253</v>
      </c>
    </row>
    <row r="123" spans="1:4" ht="14.25" customHeight="1">
      <c r="A123" s="542"/>
      <c r="B123" s="559" t="s">
        <v>708</v>
      </c>
      <c r="C123" s="548"/>
      <c r="D123" s="534">
        <f>SUM(D124:D124)</f>
        <v>322136</v>
      </c>
    </row>
    <row r="124" spans="1:4" ht="18" customHeight="1">
      <c r="A124" s="535">
        <v>31</v>
      </c>
      <c r="B124" s="503" t="s">
        <v>163</v>
      </c>
      <c r="C124" s="545"/>
      <c r="D124" s="532">
        <v>322136</v>
      </c>
    </row>
    <row r="125" spans="1:4" ht="17.25" customHeight="1">
      <c r="A125" s="542"/>
      <c r="B125" s="560" t="s">
        <v>709</v>
      </c>
      <c r="C125" s="548"/>
      <c r="D125" s="534">
        <f>SUM(D126)</f>
        <v>88691</v>
      </c>
    </row>
    <row r="126" spans="1:4" ht="18" customHeight="1">
      <c r="A126" s="535">
        <v>36</v>
      </c>
      <c r="B126" s="503" t="s">
        <v>164</v>
      </c>
      <c r="C126" s="545"/>
      <c r="D126" s="532">
        <f>88691</f>
        <v>88691</v>
      </c>
    </row>
    <row r="127" spans="1:4" ht="14.25" customHeight="1">
      <c r="A127" s="542"/>
      <c r="B127" s="561" t="s">
        <v>710</v>
      </c>
      <c r="C127" s="548"/>
      <c r="D127" s="534">
        <f>SUM(D128:D131)</f>
        <v>381390</v>
      </c>
    </row>
    <row r="128" spans="1:4" ht="20.25" customHeight="1">
      <c r="A128" s="562">
        <v>37</v>
      </c>
      <c r="B128" s="503" t="s">
        <v>165</v>
      </c>
      <c r="C128" s="545"/>
      <c r="D128" s="532">
        <f>98500</f>
        <v>98500</v>
      </c>
    </row>
    <row r="129" spans="1:4" ht="19.5" customHeight="1">
      <c r="A129" s="562">
        <v>38</v>
      </c>
      <c r="B129" s="503" t="s">
        <v>166</v>
      </c>
      <c r="C129" s="545"/>
      <c r="D129" s="532">
        <f>98190</f>
        <v>98190</v>
      </c>
    </row>
    <row r="130" spans="1:4" ht="18" customHeight="1">
      <c r="A130" s="535">
        <v>39</v>
      </c>
      <c r="B130" s="503" t="s">
        <v>167</v>
      </c>
      <c r="C130" s="545"/>
      <c r="D130" s="532">
        <f>86230</f>
        <v>86230</v>
      </c>
    </row>
    <row r="131" spans="1:4" ht="18" customHeight="1">
      <c r="A131" s="535">
        <v>40</v>
      </c>
      <c r="B131" s="503" t="s">
        <v>168</v>
      </c>
      <c r="C131" s="545"/>
      <c r="D131" s="532">
        <f>98470</f>
        <v>98470</v>
      </c>
    </row>
    <row r="132" spans="1:4" ht="15.75" customHeight="1">
      <c r="A132" s="542"/>
      <c r="B132" s="561" t="s">
        <v>711</v>
      </c>
      <c r="C132" s="548"/>
      <c r="D132" s="534">
        <f>SUM(D133:D135)</f>
        <v>432810</v>
      </c>
    </row>
    <row r="133" spans="1:4" ht="15.75" customHeight="1">
      <c r="A133" s="562">
        <v>41</v>
      </c>
      <c r="B133" s="503" t="s">
        <v>169</v>
      </c>
      <c r="C133" s="545"/>
      <c r="D133" s="532">
        <f>205570+10820</f>
        <v>216390</v>
      </c>
    </row>
    <row r="134" spans="1:4" ht="17.25" customHeight="1">
      <c r="A134" s="562">
        <v>42</v>
      </c>
      <c r="B134" s="503" t="s">
        <v>170</v>
      </c>
      <c r="C134" s="545"/>
      <c r="D134" s="532">
        <f>177000</f>
        <v>177000</v>
      </c>
    </row>
    <row r="135" spans="1:4" ht="18" customHeight="1">
      <c r="A135" s="562">
        <v>43</v>
      </c>
      <c r="B135" s="503" t="s">
        <v>171</v>
      </c>
      <c r="C135" s="545"/>
      <c r="D135" s="532">
        <v>39420</v>
      </c>
    </row>
    <row r="136" spans="1:4" ht="15" customHeight="1">
      <c r="A136" s="542"/>
      <c r="B136" s="561" t="s">
        <v>712</v>
      </c>
      <c r="C136" s="548"/>
      <c r="D136" s="534">
        <f>SUM(D137:D142)</f>
        <v>403471.6</v>
      </c>
    </row>
    <row r="137" spans="1:4" ht="23.25" customHeight="1">
      <c r="A137" s="562">
        <v>44</v>
      </c>
      <c r="B137" s="558" t="s">
        <v>172</v>
      </c>
      <c r="C137" s="545"/>
      <c r="D137" s="532">
        <v>98550</v>
      </c>
    </row>
    <row r="138" spans="1:4" ht="15" customHeight="1">
      <c r="A138" s="562">
        <v>45</v>
      </c>
      <c r="B138" s="503" t="s">
        <v>173</v>
      </c>
      <c r="C138" s="545"/>
      <c r="D138" s="532">
        <f>49270</f>
        <v>49270</v>
      </c>
    </row>
    <row r="139" spans="1:4" ht="17.25" customHeight="1">
      <c r="A139" s="562">
        <v>46</v>
      </c>
      <c r="B139" s="503" t="s">
        <v>174</v>
      </c>
      <c r="C139" s="545"/>
      <c r="D139" s="532">
        <f>49270</f>
        <v>49270</v>
      </c>
    </row>
    <row r="140" spans="1:4" ht="15.75" customHeight="1">
      <c r="A140" s="562">
        <v>47</v>
      </c>
      <c r="B140" s="503" t="s">
        <v>175</v>
      </c>
      <c r="C140" s="545"/>
      <c r="D140" s="532">
        <f>98683.6</f>
        <v>98683.6</v>
      </c>
    </row>
    <row r="141" spans="1:4" ht="18.75" customHeight="1">
      <c r="A141" s="562">
        <v>48</v>
      </c>
      <c r="B141" s="503" t="s">
        <v>176</v>
      </c>
      <c r="C141" s="545"/>
      <c r="D141" s="532">
        <f>49270</f>
        <v>49270</v>
      </c>
    </row>
    <row r="142" spans="1:4" ht="17.25" customHeight="1">
      <c r="A142" s="562">
        <v>49</v>
      </c>
      <c r="B142" s="503" t="s">
        <v>177</v>
      </c>
      <c r="C142" s="545"/>
      <c r="D142" s="532">
        <f>58428</f>
        <v>58428</v>
      </c>
    </row>
    <row r="143" spans="1:4" ht="19.5" customHeight="1">
      <c r="A143" s="542"/>
      <c r="B143" s="550" t="s">
        <v>713</v>
      </c>
      <c r="C143" s="548"/>
      <c r="D143" s="534">
        <f>SUM(D144:D145)</f>
        <v>872360</v>
      </c>
    </row>
    <row r="144" spans="1:4" ht="20.25" customHeight="1">
      <c r="A144" s="535">
        <v>51</v>
      </c>
      <c r="B144" s="503" t="s">
        <v>178</v>
      </c>
      <c r="C144" s="545"/>
      <c r="D144" s="532">
        <f>492442+25918</f>
        <v>518360</v>
      </c>
    </row>
    <row r="145" spans="1:4" ht="22.5" customHeight="1">
      <c r="A145" s="535">
        <v>52</v>
      </c>
      <c r="B145" s="558" t="s">
        <v>179</v>
      </c>
      <c r="C145" s="545"/>
      <c r="D145" s="532">
        <v>354000</v>
      </c>
    </row>
    <row r="146" spans="1:4" ht="16.5" customHeight="1">
      <c r="A146" s="542"/>
      <c r="B146" s="550" t="s">
        <v>714</v>
      </c>
      <c r="C146" s="548"/>
      <c r="D146" s="534">
        <f>SUM(D147:D149)</f>
        <v>143643</v>
      </c>
    </row>
    <row r="147" spans="1:4" ht="18" customHeight="1">
      <c r="A147" s="535">
        <v>53</v>
      </c>
      <c r="B147" s="503" t="s">
        <v>180</v>
      </c>
      <c r="C147" s="545"/>
      <c r="D147" s="532">
        <v>15865</v>
      </c>
    </row>
    <row r="148" spans="1:4" ht="18" customHeight="1">
      <c r="A148" s="535">
        <v>54</v>
      </c>
      <c r="B148" s="503" t="s">
        <v>181</v>
      </c>
      <c r="C148" s="545"/>
      <c r="D148" s="532">
        <f>48934</f>
        <v>48934</v>
      </c>
    </row>
    <row r="149" spans="1:4" ht="18" customHeight="1">
      <c r="A149" s="535">
        <v>55</v>
      </c>
      <c r="B149" s="503" t="s">
        <v>182</v>
      </c>
      <c r="C149" s="545"/>
      <c r="D149" s="532">
        <f>78844</f>
        <v>78844</v>
      </c>
    </row>
    <row r="150" spans="1:4" ht="15" customHeight="1">
      <c r="A150" s="542"/>
      <c r="B150" s="540" t="s">
        <v>139</v>
      </c>
      <c r="C150" s="548"/>
      <c r="D150" s="534">
        <f>SUM(D151:D152)</f>
        <v>47322.8</v>
      </c>
    </row>
    <row r="151" spans="1:4" ht="26.25" customHeight="1">
      <c r="A151" s="535">
        <v>56</v>
      </c>
      <c r="B151" s="503" t="s">
        <v>183</v>
      </c>
      <c r="C151" s="545"/>
      <c r="D151" s="532">
        <f>30592.8</f>
        <v>30592.8</v>
      </c>
    </row>
    <row r="152" spans="1:4" ht="16.5" customHeight="1">
      <c r="A152" s="535">
        <v>57</v>
      </c>
      <c r="B152" s="503" t="s">
        <v>184</v>
      </c>
      <c r="C152" s="545"/>
      <c r="D152" s="532">
        <v>16730</v>
      </c>
    </row>
    <row r="153" spans="1:4" ht="16.5" customHeight="1">
      <c r="A153" s="542"/>
      <c r="B153" s="557" t="s">
        <v>397</v>
      </c>
      <c r="C153" s="548"/>
      <c r="D153" s="534">
        <f>SUM(D154:D161)</f>
        <v>927419.44</v>
      </c>
    </row>
    <row r="154" spans="1:4" ht="24.75" customHeight="1">
      <c r="A154" s="562">
        <v>58</v>
      </c>
      <c r="B154" s="503" t="s">
        <v>185</v>
      </c>
      <c r="C154" s="545"/>
      <c r="D154" s="532">
        <f>64351.84</f>
        <v>64351.84</v>
      </c>
    </row>
    <row r="155" spans="1:4" ht="17.25" customHeight="1">
      <c r="A155" s="535">
        <v>59</v>
      </c>
      <c r="B155" s="503" t="s">
        <v>186</v>
      </c>
      <c r="C155" s="545"/>
      <c r="D155" s="532">
        <f>68379.6</f>
        <v>68379.6</v>
      </c>
    </row>
    <row r="156" spans="1:4" ht="17.25" customHeight="1">
      <c r="A156" s="535">
        <v>60</v>
      </c>
      <c r="B156" s="558" t="s">
        <v>187</v>
      </c>
      <c r="C156" s="545"/>
      <c r="D156" s="532">
        <f>368266</f>
        <v>368266</v>
      </c>
    </row>
    <row r="157" spans="1:4" ht="17.25" customHeight="1">
      <c r="A157" s="535"/>
      <c r="B157" s="558" t="s">
        <v>188</v>
      </c>
      <c r="C157" s="545"/>
      <c r="D157" s="532">
        <v>92345</v>
      </c>
    </row>
    <row r="158" spans="1:4" ht="17.25" customHeight="1">
      <c r="A158" s="535">
        <v>62</v>
      </c>
      <c r="B158" s="558" t="s">
        <v>189</v>
      </c>
      <c r="C158" s="545"/>
      <c r="D158" s="532">
        <f>97567</f>
        <v>97567</v>
      </c>
    </row>
    <row r="159" spans="1:4" ht="17.25" customHeight="1">
      <c r="A159" s="535">
        <v>63</v>
      </c>
      <c r="B159" s="558" t="s">
        <v>190</v>
      </c>
      <c r="C159" s="545"/>
      <c r="D159" s="532">
        <f>49270</f>
        <v>49270</v>
      </c>
    </row>
    <row r="160" spans="1:4" ht="17.25" customHeight="1">
      <c r="A160" s="535">
        <v>64</v>
      </c>
      <c r="B160" s="558" t="s">
        <v>191</v>
      </c>
      <c r="C160" s="545"/>
      <c r="D160" s="532">
        <f>96580</f>
        <v>96580</v>
      </c>
    </row>
    <row r="161" spans="1:4" ht="17.25" customHeight="1">
      <c r="A161" s="535">
        <v>65</v>
      </c>
      <c r="B161" s="558" t="s">
        <v>192</v>
      </c>
      <c r="C161" s="545"/>
      <c r="D161" s="532">
        <f>90660</f>
        <v>90660</v>
      </c>
    </row>
    <row r="162" spans="1:4" ht="15" customHeight="1">
      <c r="A162" s="449"/>
      <c r="B162" s="510" t="s">
        <v>193</v>
      </c>
      <c r="C162" s="461"/>
      <c r="D162" s="563">
        <f>SUM(D98+D101+D103+D112+D114+D116+D118+D121+D123+D125+D127+D132+D136+D143+D146+D150+D153)</f>
        <v>5584070.84</v>
      </c>
    </row>
    <row r="163" spans="1:4" ht="14.25" customHeight="1">
      <c r="A163" s="449"/>
      <c r="B163" s="564" t="s">
        <v>194</v>
      </c>
      <c r="C163" s="461"/>
      <c r="D163" s="565">
        <f>3684668.4-1260000</f>
        <v>2424668.4</v>
      </c>
    </row>
    <row r="164" spans="1:4" ht="11.25" customHeight="1">
      <c r="A164" s="449"/>
      <c r="B164" s="564" t="s">
        <v>195</v>
      </c>
      <c r="C164" s="461"/>
      <c r="D164" s="565">
        <v>3159402.44</v>
      </c>
    </row>
    <row r="165" spans="1:4" ht="15.75" customHeight="1">
      <c r="A165" s="440"/>
      <c r="B165" s="526"/>
      <c r="C165" s="526"/>
      <c r="D165" s="566"/>
    </row>
    <row r="166" spans="1:4" ht="24.75" customHeight="1">
      <c r="A166" s="525" t="s">
        <v>373</v>
      </c>
      <c r="B166" s="526"/>
      <c r="C166" s="526"/>
      <c r="D166" s="442" t="s">
        <v>375</v>
      </c>
    </row>
    <row r="167" spans="1:4" ht="14.25" customHeight="1">
      <c r="A167" s="440"/>
      <c r="B167" s="567"/>
      <c r="C167" s="526"/>
      <c r="D167" s="566"/>
    </row>
    <row r="168" spans="1:4" ht="15" customHeight="1">
      <c r="A168" s="440"/>
      <c r="B168" s="567"/>
      <c r="C168" s="526"/>
      <c r="D168" s="566"/>
    </row>
    <row r="169" spans="1:4" ht="32.25" customHeight="1" hidden="1">
      <c r="A169" s="440"/>
      <c r="B169" s="526"/>
      <c r="C169" s="526"/>
      <c r="D169" s="566"/>
    </row>
    <row r="170" spans="1:4" ht="28.5" customHeight="1" hidden="1">
      <c r="A170" s="440"/>
      <c r="B170" s="526"/>
      <c r="C170" s="526"/>
      <c r="D170" s="566"/>
    </row>
    <row r="171" spans="1:4" ht="33" customHeight="1" hidden="1">
      <c r="A171" s="440"/>
      <c r="B171" s="526"/>
      <c r="C171" s="526"/>
      <c r="D171" s="566"/>
    </row>
    <row r="172" spans="1:4" ht="28.5" customHeight="1" hidden="1">
      <c r="A172" s="440"/>
      <c r="B172" s="526"/>
      <c r="C172" s="526"/>
      <c r="D172" s="566"/>
    </row>
    <row r="173" spans="2:4" ht="42.75" customHeight="1">
      <c r="B173" s="568"/>
      <c r="C173" s="568"/>
      <c r="D173" s="569"/>
    </row>
    <row r="174" spans="2:4" ht="30" customHeight="1">
      <c r="B174" s="568"/>
      <c r="C174" s="568"/>
      <c r="D174" s="569"/>
    </row>
    <row r="175" spans="2:4" ht="45.75" customHeight="1">
      <c r="B175" s="568"/>
      <c r="C175" s="568"/>
      <c r="D175" s="569"/>
    </row>
    <row r="176" spans="2:4" ht="44.25" customHeight="1">
      <c r="B176" s="568"/>
      <c r="C176" s="568"/>
      <c r="D176" s="569"/>
    </row>
    <row r="177" spans="2:4" ht="30" customHeight="1">
      <c r="B177" s="568"/>
      <c r="C177" s="568"/>
      <c r="D177" s="569"/>
    </row>
    <row r="178" spans="2:4" ht="30" customHeight="1">
      <c r="B178" s="568"/>
      <c r="C178" s="568"/>
      <c r="D178" s="569"/>
    </row>
    <row r="179" spans="2:4" ht="30" customHeight="1">
      <c r="B179" s="568"/>
      <c r="C179" s="568"/>
      <c r="D179" s="569"/>
    </row>
    <row r="180" spans="2:4" ht="18.75" customHeight="1">
      <c r="B180" s="568"/>
      <c r="C180" s="568"/>
      <c r="D180" s="569"/>
    </row>
    <row r="181" ht="15.75" customHeight="1" hidden="1"/>
    <row r="182" ht="15.75" customHeight="1" hidden="1">
      <c r="B182" s="527" t="s">
        <v>196</v>
      </c>
    </row>
    <row r="183" ht="15.75" customHeight="1" hidden="1">
      <c r="B183" s="527" t="s">
        <v>197</v>
      </c>
    </row>
    <row r="184" ht="15.75" customHeight="1" hidden="1">
      <c r="B184" s="570"/>
    </row>
    <row r="185" ht="3" customHeight="1" hidden="1"/>
    <row r="186" ht="31.5" customHeight="1" hidden="1"/>
    <row r="187" ht="18" customHeight="1"/>
    <row r="188" ht="22.5" customHeight="1"/>
    <row r="189" ht="12" customHeight="1"/>
    <row r="190" ht="11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21" customHeight="1"/>
    <row r="221" ht="15.75" customHeight="1"/>
  </sheetData>
  <mergeCells count="6">
    <mergeCell ref="A85:D85"/>
    <mergeCell ref="A5:D5"/>
    <mergeCell ref="A7:A8"/>
    <mergeCell ref="B7:B8"/>
    <mergeCell ref="C7:C8"/>
    <mergeCell ref="D7:D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6"/>
  <sheetViews>
    <sheetView workbookViewId="0" topLeftCell="A1">
      <selection activeCell="G104" sqref="G104"/>
    </sheetView>
  </sheetViews>
  <sheetFormatPr defaultColWidth="9.33203125" defaultRowHeight="12.75"/>
  <cols>
    <col min="1" max="1" width="4.83203125" style="437" customWidth="1"/>
    <col min="2" max="2" width="84" style="437" customWidth="1"/>
    <col min="3" max="3" width="38.66015625" style="438" customWidth="1"/>
    <col min="4" max="4" width="13.33203125" style="437" hidden="1" customWidth="1"/>
    <col min="5" max="5" width="10.66015625" style="437" hidden="1" customWidth="1"/>
    <col min="6" max="16384" width="9.33203125" style="437" customWidth="1"/>
  </cols>
  <sheetData>
    <row r="1" ht="15.75">
      <c r="C1" s="439" t="s">
        <v>198</v>
      </c>
    </row>
    <row r="2" ht="15.75">
      <c r="C2" s="439" t="s">
        <v>49</v>
      </c>
    </row>
    <row r="3" ht="15.75">
      <c r="C3" s="439" t="s">
        <v>50</v>
      </c>
    </row>
    <row r="4" spans="1:3" ht="54.75" customHeight="1">
      <c r="A4" s="647" t="s">
        <v>199</v>
      </c>
      <c r="B4" s="647"/>
      <c r="C4" s="647"/>
    </row>
    <row r="5" spans="1:3" ht="18.75" customHeight="1">
      <c r="A5" s="571"/>
      <c r="B5" s="571"/>
      <c r="C5" s="442" t="s">
        <v>417</v>
      </c>
    </row>
    <row r="6" spans="1:3" ht="65.25" customHeight="1" hidden="1">
      <c r="A6" s="530"/>
      <c r="B6" s="531"/>
      <c r="C6" s="572"/>
    </row>
    <row r="7" spans="1:3" ht="24.75" customHeight="1">
      <c r="A7" s="634" t="s">
        <v>53</v>
      </c>
      <c r="B7" s="634" t="s">
        <v>54</v>
      </c>
      <c r="C7" s="648" t="s">
        <v>55</v>
      </c>
    </row>
    <row r="8" spans="1:3" ht="34.5" customHeight="1">
      <c r="A8" s="635"/>
      <c r="B8" s="635"/>
      <c r="C8" s="649"/>
    </row>
    <row r="9" spans="1:3" ht="14.25" customHeight="1">
      <c r="A9" s="493">
        <v>1</v>
      </c>
      <c r="B9" s="493">
        <v>2</v>
      </c>
      <c r="C9" s="532">
        <v>3</v>
      </c>
    </row>
    <row r="10" spans="1:3" ht="14.25" customHeight="1" hidden="1">
      <c r="A10" s="449"/>
      <c r="B10" s="302" t="s">
        <v>699</v>
      </c>
      <c r="C10" s="460"/>
    </row>
    <row r="11" spans="1:3" ht="30.75" customHeight="1" hidden="1">
      <c r="A11" s="449"/>
      <c r="B11" s="302"/>
      <c r="C11" s="460"/>
    </row>
    <row r="12" spans="1:3" ht="30.75" customHeight="1" hidden="1">
      <c r="A12" s="449"/>
      <c r="B12" s="302"/>
      <c r="C12" s="460"/>
    </row>
    <row r="13" spans="1:3" ht="14.25" customHeight="1" hidden="1">
      <c r="A13" s="449"/>
      <c r="B13" s="302"/>
      <c r="C13" s="460"/>
    </row>
    <row r="14" spans="1:3" ht="36" customHeight="1" hidden="1">
      <c r="A14" s="449"/>
      <c r="B14" s="461"/>
      <c r="C14" s="462"/>
    </row>
    <row r="15" spans="1:3" ht="14.25" customHeight="1" hidden="1">
      <c r="A15" s="449"/>
      <c r="B15" s="510" t="s">
        <v>56</v>
      </c>
      <c r="C15" s="462"/>
    </row>
    <row r="16" spans="1:3" ht="32.25" customHeight="1" hidden="1">
      <c r="A16" s="449"/>
      <c r="B16" s="461"/>
      <c r="C16" s="462"/>
    </row>
    <row r="17" spans="1:3" ht="30.75" customHeight="1" hidden="1">
      <c r="A17" s="449"/>
      <c r="B17" s="461"/>
      <c r="C17" s="462"/>
    </row>
    <row r="18" spans="1:3" ht="33.75" customHeight="1" hidden="1">
      <c r="A18" s="449"/>
      <c r="B18" s="461"/>
      <c r="C18" s="462"/>
    </row>
    <row r="19" spans="1:3" ht="34.5" customHeight="1" hidden="1">
      <c r="A19" s="449"/>
      <c r="B19" s="461"/>
      <c r="C19" s="462"/>
    </row>
    <row r="20" spans="1:3" ht="15" customHeight="1" hidden="1">
      <c r="A20" s="449"/>
      <c r="B20" s="510" t="s">
        <v>57</v>
      </c>
      <c r="C20" s="462"/>
    </row>
    <row r="21" spans="1:3" ht="45.75" customHeight="1" hidden="1">
      <c r="A21" s="449"/>
      <c r="B21" s="461"/>
      <c r="C21" s="462"/>
    </row>
    <row r="22" spans="1:3" ht="30" customHeight="1" hidden="1">
      <c r="A22" s="449"/>
      <c r="B22" s="461"/>
      <c r="C22" s="462"/>
    </row>
    <row r="23" spans="1:3" ht="29.25" customHeight="1" hidden="1">
      <c r="A23" s="449"/>
      <c r="B23" s="461"/>
      <c r="C23" s="462"/>
    </row>
    <row r="24" spans="1:3" ht="30.75" customHeight="1" hidden="1">
      <c r="A24" s="449"/>
      <c r="B24" s="461"/>
      <c r="C24" s="462"/>
    </row>
    <row r="25" spans="1:3" ht="17.25" customHeight="1" hidden="1">
      <c r="A25" s="449"/>
      <c r="B25" s="461" t="s">
        <v>58</v>
      </c>
      <c r="C25" s="462"/>
    </row>
    <row r="26" spans="1:3" ht="30" customHeight="1" hidden="1">
      <c r="A26" s="449"/>
      <c r="B26" s="461"/>
      <c r="C26" s="462"/>
    </row>
    <row r="27" spans="1:3" ht="30" customHeight="1" hidden="1">
      <c r="A27" s="449"/>
      <c r="B27" s="461"/>
      <c r="C27" s="462"/>
    </row>
    <row r="28" spans="1:3" ht="18" customHeight="1" hidden="1">
      <c r="A28" s="449"/>
      <c r="B28" s="461" t="s">
        <v>59</v>
      </c>
      <c r="C28" s="462"/>
    </row>
    <row r="29" spans="1:3" ht="28.5" customHeight="1" hidden="1">
      <c r="A29" s="449"/>
      <c r="B29" s="461"/>
      <c r="C29" s="462"/>
    </row>
    <row r="30" spans="1:3" ht="33.75" customHeight="1" hidden="1">
      <c r="A30" s="449"/>
      <c r="B30" s="461"/>
      <c r="C30" s="462"/>
    </row>
    <row r="31" spans="1:3" ht="9" customHeight="1" hidden="1">
      <c r="A31" s="449"/>
      <c r="B31" s="461"/>
      <c r="C31" s="462"/>
    </row>
    <row r="32" spans="1:3" ht="27" customHeight="1" hidden="1">
      <c r="A32" s="449"/>
      <c r="B32" s="461"/>
      <c r="C32" s="462"/>
    </row>
    <row r="33" spans="1:3" ht="15.75" customHeight="1" hidden="1">
      <c r="A33" s="449"/>
      <c r="B33" s="461" t="s">
        <v>60</v>
      </c>
      <c r="C33" s="462"/>
    </row>
    <row r="34" spans="1:3" ht="33" customHeight="1" hidden="1">
      <c r="A34" s="449"/>
      <c r="B34" s="461"/>
      <c r="C34" s="462"/>
    </row>
    <row r="35" spans="1:3" ht="33" customHeight="1" hidden="1">
      <c r="A35" s="449"/>
      <c r="B35" s="461"/>
      <c r="C35" s="462"/>
    </row>
    <row r="36" spans="1:3" ht="33" customHeight="1" hidden="1">
      <c r="A36" s="449"/>
      <c r="B36" s="461"/>
      <c r="C36" s="462"/>
    </row>
    <row r="37" spans="1:3" ht="32.25" customHeight="1" hidden="1">
      <c r="A37" s="449"/>
      <c r="B37" s="461"/>
      <c r="C37" s="462"/>
    </row>
    <row r="38" spans="1:3" ht="17.25" customHeight="1" hidden="1">
      <c r="A38" s="481"/>
      <c r="B38" s="482" t="s">
        <v>61</v>
      </c>
      <c r="C38" s="483"/>
    </row>
    <row r="39" spans="1:3" ht="50.25" customHeight="1" hidden="1">
      <c r="A39" s="481"/>
      <c r="B39" s="482"/>
      <c r="C39" s="483"/>
    </row>
    <row r="40" spans="1:3" ht="29.25" customHeight="1" hidden="1">
      <c r="A40" s="481"/>
      <c r="B40" s="482"/>
      <c r="C40" s="483"/>
    </row>
    <row r="41" spans="1:3" ht="34.5" customHeight="1" hidden="1">
      <c r="A41" s="481"/>
      <c r="B41" s="482"/>
      <c r="C41" s="483"/>
    </row>
    <row r="42" spans="1:3" ht="37.5" customHeight="1" hidden="1">
      <c r="A42" s="481"/>
      <c r="B42" s="482"/>
      <c r="C42" s="483"/>
    </row>
    <row r="43" spans="1:3" ht="36" customHeight="1" hidden="1">
      <c r="A43" s="449"/>
      <c r="B43" s="461"/>
      <c r="C43" s="462"/>
    </row>
    <row r="44" spans="1:3" ht="16.5" customHeight="1" hidden="1">
      <c r="A44" s="449"/>
      <c r="B44" s="461" t="s">
        <v>62</v>
      </c>
      <c r="C44" s="462"/>
    </row>
    <row r="45" spans="1:3" ht="30.75" customHeight="1" hidden="1">
      <c r="A45" s="449"/>
      <c r="B45" s="461"/>
      <c r="C45" s="462"/>
    </row>
    <row r="46" spans="1:3" ht="36" customHeight="1" hidden="1">
      <c r="A46" s="449"/>
      <c r="B46" s="461"/>
      <c r="C46" s="462"/>
    </row>
    <row r="47" spans="1:3" ht="36" customHeight="1" hidden="1">
      <c r="A47" s="449"/>
      <c r="B47" s="461"/>
      <c r="C47" s="462"/>
    </row>
    <row r="48" spans="1:3" ht="36.75" customHeight="1" hidden="1">
      <c r="A48" s="449"/>
      <c r="B48" s="461"/>
      <c r="C48" s="462"/>
    </row>
    <row r="49" spans="1:3" ht="33.75" customHeight="1" hidden="1">
      <c r="A49" s="449"/>
      <c r="B49" s="461"/>
      <c r="C49" s="462"/>
    </row>
    <row r="50" spans="1:3" ht="33" customHeight="1" hidden="1">
      <c r="A50" s="449"/>
      <c r="B50" s="461"/>
      <c r="C50" s="462"/>
    </row>
    <row r="51" spans="1:3" ht="18" customHeight="1" hidden="1">
      <c r="A51" s="481"/>
      <c r="B51" s="482" t="s">
        <v>63</v>
      </c>
      <c r="C51" s="483"/>
    </row>
    <row r="52" spans="1:3" ht="60" customHeight="1" hidden="1">
      <c r="A52" s="449"/>
      <c r="B52" s="461"/>
      <c r="C52" s="462"/>
    </row>
    <row r="53" spans="1:3" ht="33" customHeight="1" hidden="1">
      <c r="A53" s="449"/>
      <c r="B53" s="461"/>
      <c r="C53" s="462"/>
    </row>
    <row r="54" spans="1:3" ht="35.25" customHeight="1" hidden="1">
      <c r="A54" s="449"/>
      <c r="B54" s="461"/>
      <c r="C54" s="462"/>
    </row>
    <row r="55" spans="1:3" ht="15.75" customHeight="1" hidden="1">
      <c r="A55" s="449"/>
      <c r="B55" s="461" t="s">
        <v>64</v>
      </c>
      <c r="C55" s="462"/>
    </row>
    <row r="56" spans="1:3" ht="34.5" customHeight="1" hidden="1">
      <c r="A56" s="449"/>
      <c r="B56" s="461"/>
      <c r="C56" s="462"/>
    </row>
    <row r="57" spans="1:3" ht="27.75" customHeight="1" hidden="1">
      <c r="A57" s="449"/>
      <c r="B57" s="461"/>
      <c r="C57" s="462"/>
    </row>
    <row r="58" spans="1:3" ht="31.5" customHeight="1" hidden="1">
      <c r="A58" s="449"/>
      <c r="B58" s="461"/>
      <c r="C58" s="462"/>
    </row>
    <row r="59" spans="1:3" ht="17.25" customHeight="1" hidden="1">
      <c r="A59" s="449"/>
      <c r="B59" s="461" t="s">
        <v>65</v>
      </c>
      <c r="C59" s="462"/>
    </row>
    <row r="60" spans="1:3" ht="29.25" customHeight="1" hidden="1">
      <c r="A60" s="449"/>
      <c r="B60" s="461"/>
      <c r="C60" s="462"/>
    </row>
    <row r="61" spans="1:3" ht="43.5" customHeight="1" hidden="1">
      <c r="A61" s="449"/>
      <c r="B61" s="461"/>
      <c r="C61" s="462"/>
    </row>
    <row r="62" spans="1:3" ht="31.5" customHeight="1" hidden="1">
      <c r="A62" s="449"/>
      <c r="B62" s="461"/>
      <c r="C62" s="462"/>
    </row>
    <row r="63" spans="1:3" ht="35.25" customHeight="1" hidden="1">
      <c r="A63" s="449"/>
      <c r="B63" s="461"/>
      <c r="C63" s="462"/>
    </row>
    <row r="64" spans="1:3" ht="18" customHeight="1" hidden="1">
      <c r="A64" s="449"/>
      <c r="B64" s="461" t="s">
        <v>66</v>
      </c>
      <c r="C64" s="462"/>
    </row>
    <row r="65" spans="1:3" ht="32.25" customHeight="1" hidden="1">
      <c r="A65" s="449"/>
      <c r="B65" s="461"/>
      <c r="C65" s="462"/>
    </row>
    <row r="66" spans="1:3" ht="30" customHeight="1" hidden="1">
      <c r="A66" s="449"/>
      <c r="B66" s="461"/>
      <c r="C66" s="462"/>
    </row>
    <row r="67" spans="1:3" ht="35.25" customHeight="1" hidden="1">
      <c r="A67" s="449"/>
      <c r="B67" s="461"/>
      <c r="C67" s="462"/>
    </row>
    <row r="68" spans="1:3" ht="35.25" customHeight="1" hidden="1">
      <c r="A68" s="449"/>
      <c r="B68" s="461"/>
      <c r="C68" s="462"/>
    </row>
    <row r="69" spans="1:3" ht="31.5" customHeight="1" hidden="1">
      <c r="A69" s="449"/>
      <c r="B69" s="461"/>
      <c r="C69" s="462"/>
    </row>
    <row r="70" spans="1:3" ht="31.5" customHeight="1" hidden="1">
      <c r="A70" s="449"/>
      <c r="B70" s="461"/>
      <c r="C70" s="462"/>
    </row>
    <row r="71" spans="1:3" ht="18.75" customHeight="1" hidden="1">
      <c r="A71" s="449"/>
      <c r="B71" s="510" t="s">
        <v>67</v>
      </c>
      <c r="C71" s="462"/>
    </row>
    <row r="72" spans="1:3" ht="38.25" customHeight="1" hidden="1">
      <c r="A72" s="449"/>
      <c r="B72" s="461"/>
      <c r="C72" s="462"/>
    </row>
    <row r="73" spans="1:3" ht="50.25" customHeight="1" hidden="1">
      <c r="A73" s="449"/>
      <c r="B73" s="461"/>
      <c r="C73" s="462"/>
    </row>
    <row r="74" spans="1:3" ht="21.75" customHeight="1" hidden="1">
      <c r="A74" s="449"/>
      <c r="B74" s="461"/>
      <c r="C74" s="462"/>
    </row>
    <row r="75" spans="1:3" ht="28.5" customHeight="1" hidden="1">
      <c r="A75" s="449"/>
      <c r="B75" s="461"/>
      <c r="C75" s="462"/>
    </row>
    <row r="76" spans="1:3" ht="20.25" customHeight="1" hidden="1">
      <c r="A76" s="449"/>
      <c r="B76" s="461"/>
      <c r="C76" s="462"/>
    </row>
    <row r="77" spans="1:3" ht="23.25" customHeight="1" hidden="1">
      <c r="A77" s="449"/>
      <c r="B77" s="461"/>
      <c r="C77" s="462"/>
    </row>
    <row r="78" spans="1:3" ht="79.5" customHeight="1" hidden="1">
      <c r="A78" s="449"/>
      <c r="B78" s="461"/>
      <c r="C78" s="462"/>
    </row>
    <row r="79" spans="1:3" ht="65.25" customHeight="1" hidden="1">
      <c r="A79" s="449"/>
      <c r="B79" s="461"/>
      <c r="C79" s="462"/>
    </row>
    <row r="80" spans="1:3" ht="45" customHeight="1" hidden="1">
      <c r="A80" s="449"/>
      <c r="B80" s="461"/>
      <c r="C80" s="462"/>
    </row>
    <row r="81" spans="1:3" ht="42.75" customHeight="1" hidden="1">
      <c r="A81" s="449"/>
      <c r="B81" s="461"/>
      <c r="C81" s="462"/>
    </row>
    <row r="82" spans="1:3" ht="3.75" customHeight="1" hidden="1">
      <c r="A82" s="449"/>
      <c r="B82" s="461"/>
      <c r="C82" s="462"/>
    </row>
    <row r="83" spans="1:3" ht="34.5" customHeight="1" hidden="1">
      <c r="A83" s="449"/>
      <c r="B83" s="461"/>
      <c r="C83" s="462"/>
    </row>
    <row r="84" spans="1:3" ht="51" customHeight="1" hidden="1">
      <c r="A84" s="449"/>
      <c r="B84" s="461"/>
      <c r="C84" s="462"/>
    </row>
    <row r="85" spans="1:3" ht="15.75" customHeight="1" hidden="1">
      <c r="A85" s="639" t="s">
        <v>68</v>
      </c>
      <c r="B85" s="631"/>
      <c r="C85" s="643"/>
    </row>
    <row r="86" spans="1:3" ht="33.75" customHeight="1" hidden="1">
      <c r="A86" s="461"/>
      <c r="B86" s="461"/>
      <c r="C86" s="462"/>
    </row>
    <row r="87" spans="1:3" ht="78" customHeight="1" hidden="1">
      <c r="A87" s="461"/>
      <c r="B87" s="461"/>
      <c r="C87" s="489"/>
    </row>
    <row r="88" spans="1:3" ht="36" customHeight="1" hidden="1">
      <c r="A88" s="461"/>
      <c r="B88" s="461"/>
      <c r="C88" s="489"/>
    </row>
    <row r="89" spans="1:3" ht="36" customHeight="1" hidden="1">
      <c r="A89" s="461"/>
      <c r="B89" s="461"/>
      <c r="C89" s="489"/>
    </row>
    <row r="90" spans="1:3" ht="40.5" customHeight="1" hidden="1">
      <c r="A90" s="461"/>
      <c r="B90" s="461"/>
      <c r="C90" s="489"/>
    </row>
    <row r="91" spans="1:3" ht="36" customHeight="1" hidden="1">
      <c r="A91" s="449"/>
      <c r="B91" s="461"/>
      <c r="C91" s="462"/>
    </row>
    <row r="92" spans="1:3" ht="16.5" customHeight="1" hidden="1">
      <c r="A92" s="449"/>
      <c r="B92" s="461" t="s">
        <v>69</v>
      </c>
      <c r="C92" s="462"/>
    </row>
    <row r="93" spans="1:3" ht="60" customHeight="1" hidden="1">
      <c r="A93" s="449"/>
      <c r="B93" s="461"/>
      <c r="C93" s="462"/>
    </row>
    <row r="94" spans="1:3" ht="58.5" customHeight="1" hidden="1">
      <c r="A94" s="449"/>
      <c r="B94" s="461"/>
      <c r="C94" s="462"/>
    </row>
    <row r="95" spans="1:3" ht="32.25" customHeight="1" hidden="1">
      <c r="A95" s="449"/>
      <c r="B95" s="461"/>
      <c r="C95" s="462"/>
    </row>
    <row r="96" spans="1:3" ht="33.75" customHeight="1" hidden="1">
      <c r="A96" s="449"/>
      <c r="B96" s="461"/>
      <c r="C96" s="462"/>
    </row>
    <row r="97" spans="1:3" ht="33.75" customHeight="1" hidden="1">
      <c r="A97" s="449"/>
      <c r="B97" s="461"/>
      <c r="C97" s="462"/>
    </row>
    <row r="98" spans="1:3" ht="33.75" customHeight="1">
      <c r="A98" s="449"/>
      <c r="B98" s="644" t="s">
        <v>200</v>
      </c>
      <c r="C98" s="645"/>
    </row>
    <row r="99" spans="1:3" ht="30.75" customHeight="1">
      <c r="A99" s="493">
        <v>1</v>
      </c>
      <c r="B99" s="564" t="s">
        <v>201</v>
      </c>
      <c r="C99" s="532">
        <f>10882.8+18271</f>
        <v>29153.8</v>
      </c>
    </row>
    <row r="100" spans="1:3" ht="29.25" customHeight="1">
      <c r="A100" s="493">
        <v>2</v>
      </c>
      <c r="B100" s="564" t="s">
        <v>202</v>
      </c>
      <c r="C100" s="532">
        <f>147579</f>
        <v>147579</v>
      </c>
    </row>
    <row r="101" spans="1:3" ht="26.25" customHeight="1">
      <c r="A101" s="493">
        <v>3</v>
      </c>
      <c r="B101" s="564" t="s">
        <v>203</v>
      </c>
      <c r="C101" s="496">
        <f>300+194000+2700</f>
        <v>197000</v>
      </c>
    </row>
    <row r="102" spans="1:3" ht="24.75" customHeight="1">
      <c r="A102" s="493">
        <v>4</v>
      </c>
      <c r="B102" s="564" t="s">
        <v>204</v>
      </c>
      <c r="C102" s="496">
        <f>79236.79</f>
        <v>79236.79</v>
      </c>
    </row>
    <row r="103" spans="1:3" ht="27" customHeight="1">
      <c r="A103" s="493">
        <v>5</v>
      </c>
      <c r="B103" s="564" t="s">
        <v>205</v>
      </c>
      <c r="C103" s="532">
        <v>130000</v>
      </c>
    </row>
    <row r="104" spans="1:3" ht="38.25" customHeight="1">
      <c r="A104" s="493">
        <v>6</v>
      </c>
      <c r="B104" s="564" t="s">
        <v>206</v>
      </c>
      <c r="C104" s="496">
        <v>15643</v>
      </c>
    </row>
    <row r="105" spans="1:3" ht="40.5" customHeight="1">
      <c r="A105" s="493">
        <v>7</v>
      </c>
      <c r="B105" s="564" t="s">
        <v>207</v>
      </c>
      <c r="C105" s="532">
        <v>12576</v>
      </c>
    </row>
    <row r="106" spans="1:3" ht="25.5" customHeight="1">
      <c r="A106" s="493">
        <v>8</v>
      </c>
      <c r="B106" s="564" t="s">
        <v>208</v>
      </c>
      <c r="C106" s="532">
        <f>31131+31491</f>
        <v>62622</v>
      </c>
    </row>
    <row r="107" spans="1:3" ht="16.5" customHeight="1">
      <c r="A107" s="493"/>
      <c r="B107" s="533" t="s">
        <v>193</v>
      </c>
      <c r="C107" s="534">
        <f>SUM(C99:C106)</f>
        <v>673810.59</v>
      </c>
    </row>
    <row r="108" spans="1:5" ht="21" customHeight="1">
      <c r="A108" s="449"/>
      <c r="B108" s="644" t="s">
        <v>209</v>
      </c>
      <c r="C108" s="646"/>
      <c r="D108" s="646"/>
      <c r="E108" s="646"/>
    </row>
    <row r="109" spans="1:3" ht="51.75" customHeight="1">
      <c r="A109" s="493">
        <v>1</v>
      </c>
      <c r="B109" s="564" t="s">
        <v>210</v>
      </c>
      <c r="C109" s="532">
        <v>52800</v>
      </c>
    </row>
    <row r="110" spans="1:3" ht="27.75" customHeight="1">
      <c r="A110" s="493">
        <v>2</v>
      </c>
      <c r="B110" s="564" t="s">
        <v>211</v>
      </c>
      <c r="C110" s="532">
        <f>123188+36522</f>
        <v>159710</v>
      </c>
    </row>
    <row r="111" spans="1:3" ht="18" customHeight="1">
      <c r="A111" s="449"/>
      <c r="B111" s="573" t="s">
        <v>193</v>
      </c>
      <c r="C111" s="534">
        <f>C109+C110</f>
        <v>212510</v>
      </c>
    </row>
    <row r="112" spans="1:5" ht="18" customHeight="1">
      <c r="A112" s="449"/>
      <c r="B112" s="644" t="s">
        <v>212</v>
      </c>
      <c r="C112" s="646"/>
      <c r="D112" s="646"/>
      <c r="E112" s="646"/>
    </row>
    <row r="113" spans="1:3" ht="45.75" customHeight="1">
      <c r="A113" s="449">
        <v>1</v>
      </c>
      <c r="B113" s="564" t="s">
        <v>213</v>
      </c>
      <c r="C113" s="532">
        <v>26301.5</v>
      </c>
    </row>
    <row r="114" spans="1:3" ht="18" customHeight="1">
      <c r="A114" s="449">
        <v>2</v>
      </c>
      <c r="B114" s="564" t="s">
        <v>214</v>
      </c>
      <c r="C114" s="532">
        <v>20000</v>
      </c>
    </row>
    <row r="115" spans="1:3" ht="18" customHeight="1">
      <c r="A115" s="449"/>
      <c r="B115" s="573" t="s">
        <v>193</v>
      </c>
      <c r="C115" s="534">
        <f>C113+C114</f>
        <v>46301.5</v>
      </c>
    </row>
    <row r="116" spans="1:3" ht="18.75" customHeight="1">
      <c r="A116" s="449"/>
      <c r="B116" s="510" t="s">
        <v>367</v>
      </c>
      <c r="C116" s="534">
        <f>C107+C111+C115</f>
        <v>932622.09</v>
      </c>
    </row>
    <row r="117" spans="1:3" ht="3.75" customHeight="1" hidden="1">
      <c r="A117" s="440"/>
      <c r="B117" s="526"/>
      <c r="C117" s="566"/>
    </row>
    <row r="118" spans="1:3" ht="29.25" customHeight="1">
      <c r="A118" s="440"/>
      <c r="B118" s="526"/>
      <c r="C118" s="566"/>
    </row>
    <row r="119" spans="1:5" ht="18.75" customHeight="1">
      <c r="A119" s="525" t="s">
        <v>373</v>
      </c>
      <c r="B119" s="526"/>
      <c r="C119" s="442" t="s">
        <v>375</v>
      </c>
      <c r="E119" s="574" t="s">
        <v>215</v>
      </c>
    </row>
    <row r="120" spans="1:3" ht="10.5" customHeight="1">
      <c r="A120" s="440"/>
      <c r="B120" s="567"/>
      <c r="C120" s="566"/>
    </row>
    <row r="121" spans="1:3" ht="32.25" customHeight="1" hidden="1">
      <c r="A121" s="440"/>
      <c r="B121" s="526"/>
      <c r="C121" s="566"/>
    </row>
    <row r="122" spans="1:3" ht="28.5" customHeight="1" hidden="1">
      <c r="A122" s="440"/>
      <c r="B122" s="526"/>
      <c r="C122" s="566"/>
    </row>
    <row r="123" spans="1:3" ht="33" customHeight="1" hidden="1">
      <c r="A123" s="440"/>
      <c r="B123" s="526"/>
      <c r="C123" s="566"/>
    </row>
    <row r="124" spans="1:3" ht="28.5" customHeight="1" hidden="1">
      <c r="A124" s="440"/>
      <c r="B124" s="526"/>
      <c r="C124" s="566"/>
    </row>
    <row r="125" spans="2:3" ht="42.75" customHeight="1">
      <c r="B125" s="568"/>
      <c r="C125" s="569"/>
    </row>
    <row r="126" spans="2:3" ht="30" customHeight="1">
      <c r="B126" s="568"/>
      <c r="C126" s="569"/>
    </row>
    <row r="127" spans="2:3" ht="45.75" customHeight="1">
      <c r="B127" s="568"/>
      <c r="C127" s="569"/>
    </row>
    <row r="128" spans="2:3" ht="44.25" customHeight="1">
      <c r="B128" s="568"/>
      <c r="C128" s="569"/>
    </row>
    <row r="129" spans="2:3" ht="30" customHeight="1">
      <c r="B129" s="568"/>
      <c r="C129" s="569"/>
    </row>
    <row r="130" spans="2:3" ht="30" customHeight="1">
      <c r="B130" s="568"/>
      <c r="C130" s="569"/>
    </row>
    <row r="131" spans="2:3" ht="30" customHeight="1">
      <c r="B131" s="568"/>
      <c r="C131" s="569"/>
    </row>
    <row r="132" spans="2:3" ht="18.75" customHeight="1">
      <c r="B132" s="568"/>
      <c r="C132" s="569"/>
    </row>
    <row r="133" ht="15.75" customHeight="1" hidden="1"/>
    <row r="134" ht="15.75" customHeight="1" hidden="1">
      <c r="B134" s="527" t="s">
        <v>196</v>
      </c>
    </row>
    <row r="135" ht="15.75" customHeight="1" hidden="1">
      <c r="B135" s="527" t="s">
        <v>197</v>
      </c>
    </row>
    <row r="136" ht="15.75" customHeight="1" hidden="1">
      <c r="B136" s="570"/>
    </row>
    <row r="137" ht="3" customHeight="1" hidden="1"/>
    <row r="138" ht="31.5" customHeight="1" hidden="1"/>
    <row r="139" ht="18" customHeight="1"/>
    <row r="140" ht="22.5" customHeight="1"/>
    <row r="141" ht="12" customHeight="1"/>
    <row r="142" ht="11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21" customHeight="1"/>
    <row r="173" ht="15.75" customHeight="1"/>
  </sheetData>
  <mergeCells count="8">
    <mergeCell ref="A4:C4"/>
    <mergeCell ref="A7:A8"/>
    <mergeCell ref="B7:B8"/>
    <mergeCell ref="C7:C8"/>
    <mergeCell ref="A85:C85"/>
    <mergeCell ref="B98:C98"/>
    <mergeCell ref="B108:E108"/>
    <mergeCell ref="B112:E1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workbookViewId="0" topLeftCell="C1">
      <selection activeCell="J4" sqref="J4"/>
    </sheetView>
  </sheetViews>
  <sheetFormatPr defaultColWidth="9.33203125" defaultRowHeight="12.75"/>
  <cols>
    <col min="1" max="1" width="13" style="73" customWidth="1"/>
    <col min="2" max="2" width="39.5" style="74" customWidth="1"/>
    <col min="3" max="3" width="20.83203125" style="75" customWidth="1"/>
    <col min="4" max="4" width="17.83203125" style="76" customWidth="1"/>
    <col min="5" max="5" width="16.66015625" style="76" customWidth="1"/>
    <col min="6" max="6" width="20.83203125" style="75" customWidth="1"/>
    <col min="7" max="7" width="21.5" style="76" customWidth="1"/>
    <col min="8" max="8" width="11.16015625" style="76" customWidth="1"/>
    <col min="9" max="9" width="14.16015625" style="76" customWidth="1"/>
    <col min="10" max="10" width="20.66015625" style="76" customWidth="1"/>
    <col min="11" max="11" width="21.83203125" style="76" customWidth="1"/>
    <col min="12" max="12" width="22" style="76" customWidth="1"/>
    <col min="13" max="13" width="21.16015625" style="75" customWidth="1"/>
    <col min="14" max="14" width="19.16015625" style="76" customWidth="1"/>
    <col min="15" max="16384" width="9.33203125" style="76" customWidth="1"/>
  </cols>
  <sheetData>
    <row r="1" ht="12.75">
      <c r="L1" s="77" t="s">
        <v>412</v>
      </c>
    </row>
    <row r="2" ht="12.75">
      <c r="L2" s="77" t="s">
        <v>413</v>
      </c>
    </row>
    <row r="3" ht="12.75">
      <c r="L3" s="77" t="s">
        <v>414</v>
      </c>
    </row>
    <row r="4" ht="12.75">
      <c r="L4" s="75"/>
    </row>
    <row r="5" spans="1:13" ht="30.75" customHeight="1">
      <c r="A5" s="609" t="s">
        <v>415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</row>
    <row r="6" spans="1:13" ht="30" customHeight="1">
      <c r="A6" s="609" t="s">
        <v>416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</row>
    <row r="7" ht="15">
      <c r="M7" s="78" t="s">
        <v>417</v>
      </c>
    </row>
    <row r="8" spans="1:13" ht="26.25" customHeight="1">
      <c r="A8" s="610" t="s">
        <v>418</v>
      </c>
      <c r="B8" s="611" t="s">
        <v>419</v>
      </c>
      <c r="C8" s="608" t="s">
        <v>420</v>
      </c>
      <c r="D8" s="608"/>
      <c r="E8" s="608"/>
      <c r="F8" s="608" t="s">
        <v>421</v>
      </c>
      <c r="G8" s="608"/>
      <c r="H8" s="608"/>
      <c r="I8" s="608"/>
      <c r="J8" s="608"/>
      <c r="K8" s="608"/>
      <c r="L8" s="608"/>
      <c r="M8" s="612" t="s">
        <v>422</v>
      </c>
    </row>
    <row r="9" spans="1:13" ht="16.5" customHeight="1">
      <c r="A9" s="610"/>
      <c r="B9" s="611"/>
      <c r="C9" s="608" t="s">
        <v>423</v>
      </c>
      <c r="D9" s="608" t="s">
        <v>424</v>
      </c>
      <c r="E9" s="608"/>
      <c r="F9" s="608" t="s">
        <v>423</v>
      </c>
      <c r="G9" s="607" t="s">
        <v>425</v>
      </c>
      <c r="H9" s="608" t="s">
        <v>424</v>
      </c>
      <c r="I9" s="608"/>
      <c r="J9" s="607" t="s">
        <v>426</v>
      </c>
      <c r="K9" s="607" t="s">
        <v>424</v>
      </c>
      <c r="L9" s="607"/>
      <c r="M9" s="612"/>
    </row>
    <row r="10" spans="1:13" ht="18.75" customHeight="1">
      <c r="A10" s="610"/>
      <c r="B10" s="611"/>
      <c r="C10" s="608"/>
      <c r="D10" s="607" t="s">
        <v>427</v>
      </c>
      <c r="E10" s="607" t="s">
        <v>428</v>
      </c>
      <c r="F10" s="608"/>
      <c r="G10" s="607"/>
      <c r="H10" s="607" t="s">
        <v>427</v>
      </c>
      <c r="I10" s="607" t="s">
        <v>428</v>
      </c>
      <c r="J10" s="607"/>
      <c r="K10" s="607" t="s">
        <v>429</v>
      </c>
      <c r="L10" s="79" t="s">
        <v>424</v>
      </c>
      <c r="M10" s="612"/>
    </row>
    <row r="11" spans="1:13" ht="127.5" customHeight="1">
      <c r="A11" s="610"/>
      <c r="B11" s="611"/>
      <c r="C11" s="608"/>
      <c r="D11" s="607"/>
      <c r="E11" s="607"/>
      <c r="F11" s="608"/>
      <c r="G11" s="607"/>
      <c r="H11" s="607"/>
      <c r="I11" s="607"/>
      <c r="J11" s="607"/>
      <c r="K11" s="607"/>
      <c r="L11" s="79" t="s">
        <v>430</v>
      </c>
      <c r="M11" s="612"/>
    </row>
    <row r="12" spans="1:13" s="85" customFormat="1" ht="12" customHeight="1">
      <c r="A12" s="80">
        <v>1</v>
      </c>
      <c r="B12" s="81">
        <v>2</v>
      </c>
      <c r="C12" s="81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81">
        <v>10</v>
      </c>
      <c r="K12" s="81">
        <v>11</v>
      </c>
      <c r="L12" s="81">
        <v>12</v>
      </c>
      <c r="M12" s="81" t="s">
        <v>431</v>
      </c>
    </row>
    <row r="13" spans="1:14" s="90" customFormat="1" ht="15.75">
      <c r="A13" s="86" t="s">
        <v>432</v>
      </c>
      <c r="B13" s="87" t="s">
        <v>433</v>
      </c>
      <c r="C13" s="88">
        <f>C14+C15+C16+C17+C18+C19+C20+C21+C22+C23+C24+C26+C28+C27</f>
        <v>2189635.6199999996</v>
      </c>
      <c r="D13" s="88">
        <f aca="true" t="shared" si="0" ref="D13:L13">D14+D15+D16+D17+D18+D19+D20+D21+D22+D23+D24+D26+D28+D27</f>
        <v>0</v>
      </c>
      <c r="E13" s="88">
        <f t="shared" si="0"/>
        <v>0</v>
      </c>
      <c r="F13" s="88">
        <f t="shared" si="0"/>
        <v>2398382.87</v>
      </c>
      <c r="G13" s="88">
        <f t="shared" si="0"/>
        <v>0</v>
      </c>
      <c r="H13" s="88">
        <f t="shared" si="0"/>
        <v>0</v>
      </c>
      <c r="I13" s="88">
        <f t="shared" si="0"/>
        <v>0</v>
      </c>
      <c r="J13" s="88">
        <f t="shared" si="0"/>
        <v>2398382.87</v>
      </c>
      <c r="K13" s="88">
        <f t="shared" si="0"/>
        <v>2398382.87</v>
      </c>
      <c r="L13" s="88">
        <f t="shared" si="0"/>
        <v>0</v>
      </c>
      <c r="M13" s="88">
        <f>F13+C13</f>
        <v>4588018.49</v>
      </c>
      <c r="N13" s="89"/>
    </row>
    <row r="14" spans="1:14" s="90" customFormat="1" ht="47.25">
      <c r="A14" s="91" t="s">
        <v>434</v>
      </c>
      <c r="B14" s="92" t="s">
        <v>435</v>
      </c>
      <c r="C14" s="93">
        <f>'[1]додаток 3'!C32</f>
        <v>216012.92</v>
      </c>
      <c r="D14" s="93">
        <f>'[1]додаток 3'!D32</f>
        <v>0</v>
      </c>
      <c r="E14" s="93">
        <f>'[1]додаток 3'!E32</f>
        <v>0</v>
      </c>
      <c r="F14" s="93">
        <f>'[1]додаток 3'!F32</f>
        <v>28808.2</v>
      </c>
      <c r="G14" s="93">
        <f>'[1]додаток 3'!G32</f>
        <v>0</v>
      </c>
      <c r="H14" s="93">
        <f>'[1]додаток 3'!H32</f>
        <v>0</v>
      </c>
      <c r="I14" s="93">
        <f>'[1]додаток 3'!I32</f>
        <v>0</v>
      </c>
      <c r="J14" s="93">
        <f>'[1]додаток 3'!J32</f>
        <v>28808.2</v>
      </c>
      <c r="K14" s="93">
        <f>'[1]додаток 3'!K32</f>
        <v>28808.2</v>
      </c>
      <c r="L14" s="93">
        <f>'[1]додаток 3'!L32</f>
        <v>0</v>
      </c>
      <c r="M14" s="93">
        <f>C14+F14</f>
        <v>244821.12000000002</v>
      </c>
      <c r="N14" s="89"/>
    </row>
    <row r="15" spans="1:14" s="90" customFormat="1" ht="63">
      <c r="A15" s="91" t="s">
        <v>436</v>
      </c>
      <c r="B15" s="92" t="s">
        <v>437</v>
      </c>
      <c r="C15" s="93">
        <f>'[1]додаток 3'!C33</f>
        <v>200194.22</v>
      </c>
      <c r="D15" s="93">
        <f>'[1]додаток 3'!D33</f>
        <v>0</v>
      </c>
      <c r="E15" s="93">
        <f>'[1]додаток 3'!E33</f>
        <v>0</v>
      </c>
      <c r="F15" s="93">
        <f>'[1]додаток 3'!F33</f>
        <v>48000</v>
      </c>
      <c r="G15" s="93">
        <f>'[1]додаток 3'!G33</f>
        <v>0</v>
      </c>
      <c r="H15" s="93">
        <f>'[1]додаток 3'!H33</f>
        <v>0</v>
      </c>
      <c r="I15" s="93">
        <f>'[1]додаток 3'!I33</f>
        <v>0</v>
      </c>
      <c r="J15" s="93">
        <f>'[1]додаток 3'!J33</f>
        <v>48000</v>
      </c>
      <c r="K15" s="93">
        <f>'[1]додаток 3'!K33</f>
        <v>48000</v>
      </c>
      <c r="L15" s="93">
        <f>'[1]додаток 3'!L33</f>
        <v>0</v>
      </c>
      <c r="M15" s="93">
        <f aca="true" t="shared" si="1" ref="M15:M46">C15+F15</f>
        <v>248194.22</v>
      </c>
      <c r="N15" s="89"/>
    </row>
    <row r="16" spans="1:14" s="90" customFormat="1" ht="31.5">
      <c r="A16" s="91" t="s">
        <v>438</v>
      </c>
      <c r="B16" s="94" t="s">
        <v>439</v>
      </c>
      <c r="C16" s="93">
        <f>'[1]додаток 3'!C34</f>
        <v>35153.63</v>
      </c>
      <c r="D16" s="93">
        <f>'[1]додаток 3'!D34</f>
        <v>0</v>
      </c>
      <c r="E16" s="93">
        <f>'[1]додаток 3'!E34</f>
        <v>0</v>
      </c>
      <c r="F16" s="93">
        <f>'[1]додаток 3'!F34</f>
        <v>158924.56</v>
      </c>
      <c r="G16" s="93">
        <f>'[1]додаток 3'!G34</f>
        <v>0</v>
      </c>
      <c r="H16" s="93">
        <f>'[1]додаток 3'!H34</f>
        <v>0</v>
      </c>
      <c r="I16" s="93">
        <f>'[1]додаток 3'!I34</f>
        <v>0</v>
      </c>
      <c r="J16" s="93">
        <f>'[1]додаток 3'!J34</f>
        <v>158924.56</v>
      </c>
      <c r="K16" s="93">
        <f>'[1]додаток 3'!K34</f>
        <v>158924.56</v>
      </c>
      <c r="L16" s="93">
        <f>'[1]додаток 3'!L34</f>
        <v>0</v>
      </c>
      <c r="M16" s="93">
        <f t="shared" si="1"/>
        <v>194078.19</v>
      </c>
      <c r="N16" s="89"/>
    </row>
    <row r="17" spans="1:14" s="90" customFormat="1" ht="78.75">
      <c r="A17" s="91" t="s">
        <v>440</v>
      </c>
      <c r="B17" s="92" t="s">
        <v>441</v>
      </c>
      <c r="C17" s="93">
        <f>'[1]додаток 3'!C35</f>
        <v>460770.25</v>
      </c>
      <c r="D17" s="93">
        <f>'[1]додаток 3'!D35</f>
        <v>0</v>
      </c>
      <c r="E17" s="93">
        <f>'[1]додаток 3'!E35</f>
        <v>0</v>
      </c>
      <c r="F17" s="93">
        <f>'[1]додаток 3'!F35</f>
        <v>750701.22</v>
      </c>
      <c r="G17" s="93">
        <f>'[1]додаток 3'!G35</f>
        <v>0</v>
      </c>
      <c r="H17" s="93">
        <f>'[1]додаток 3'!H35</f>
        <v>0</v>
      </c>
      <c r="I17" s="93">
        <f>'[1]додаток 3'!I35</f>
        <v>0</v>
      </c>
      <c r="J17" s="93">
        <f>'[1]додаток 3'!J35</f>
        <v>750701.22</v>
      </c>
      <c r="K17" s="93">
        <f>'[1]додаток 3'!K35</f>
        <v>750701.22</v>
      </c>
      <c r="L17" s="93">
        <f>'[1]додаток 3'!L35</f>
        <v>0</v>
      </c>
      <c r="M17" s="93">
        <f t="shared" si="1"/>
        <v>1211471.47</v>
      </c>
      <c r="N17" s="89"/>
    </row>
    <row r="18" spans="1:14" s="90" customFormat="1" ht="128.25" customHeight="1">
      <c r="A18" s="91" t="s">
        <v>442</v>
      </c>
      <c r="B18" s="92" t="s">
        <v>443</v>
      </c>
      <c r="C18" s="93">
        <f>'[1]додаток 3'!C36</f>
        <v>451816.8</v>
      </c>
      <c r="D18" s="93">
        <f>'[1]додаток 3'!D36</f>
        <v>0</v>
      </c>
      <c r="E18" s="93">
        <f>'[1]додаток 3'!E36</f>
        <v>0</v>
      </c>
      <c r="F18" s="93">
        <f>'[1]додаток 3'!F36</f>
        <v>36203</v>
      </c>
      <c r="G18" s="93">
        <f>'[1]додаток 3'!G36</f>
        <v>0</v>
      </c>
      <c r="H18" s="93">
        <f>'[1]додаток 3'!H36</f>
        <v>0</v>
      </c>
      <c r="I18" s="93">
        <f>'[1]додаток 3'!I36</f>
        <v>0</v>
      </c>
      <c r="J18" s="93">
        <f>'[1]додаток 3'!J36</f>
        <v>36203</v>
      </c>
      <c r="K18" s="93">
        <f>'[1]додаток 3'!K36</f>
        <v>36203</v>
      </c>
      <c r="L18" s="93">
        <f>'[1]додаток 3'!L36</f>
        <v>0</v>
      </c>
      <c r="M18" s="93">
        <f t="shared" si="1"/>
        <v>488019.8</v>
      </c>
      <c r="N18" s="89"/>
    </row>
    <row r="19" spans="1:14" s="90" customFormat="1" ht="47.25">
      <c r="A19" s="91" t="s">
        <v>444</v>
      </c>
      <c r="B19" s="92" t="s">
        <v>445</v>
      </c>
      <c r="C19" s="93">
        <f>'[1]додаток 3'!C37</f>
        <v>143595.41</v>
      </c>
      <c r="D19" s="93">
        <f>'[1]додаток 3'!D37</f>
        <v>0</v>
      </c>
      <c r="E19" s="93">
        <f>'[1]додаток 3'!E37</f>
        <v>0</v>
      </c>
      <c r="F19" s="93">
        <f>'[1]додаток 3'!F37</f>
        <v>0</v>
      </c>
      <c r="G19" s="93">
        <f>'[1]додаток 3'!G37</f>
        <v>0</v>
      </c>
      <c r="H19" s="93">
        <f>'[1]додаток 3'!H37</f>
        <v>0</v>
      </c>
      <c r="I19" s="93">
        <f>'[1]додаток 3'!I37</f>
        <v>0</v>
      </c>
      <c r="J19" s="93">
        <f>'[1]додаток 3'!J37</f>
        <v>0</v>
      </c>
      <c r="K19" s="93">
        <f>'[1]додаток 3'!K37</f>
        <v>0</v>
      </c>
      <c r="L19" s="93">
        <f>'[1]додаток 3'!L37</f>
        <v>0</v>
      </c>
      <c r="M19" s="93">
        <f t="shared" si="1"/>
        <v>143595.41</v>
      </c>
      <c r="N19" s="89"/>
    </row>
    <row r="20" spans="1:14" s="90" customFormat="1" ht="31.5">
      <c r="A20" s="91" t="s">
        <v>446</v>
      </c>
      <c r="B20" s="92" t="s">
        <v>447</v>
      </c>
      <c r="C20" s="93">
        <f>'[1]додаток 3'!C38</f>
        <v>253577.82</v>
      </c>
      <c r="D20" s="93">
        <f>'[1]додаток 3'!D38</f>
        <v>0</v>
      </c>
      <c r="E20" s="93">
        <f>'[1]додаток 3'!E38</f>
        <v>0</v>
      </c>
      <c r="F20" s="93">
        <f>'[1]додаток 3'!F38</f>
        <v>1236451.27</v>
      </c>
      <c r="G20" s="93">
        <f>'[1]додаток 3'!G38</f>
        <v>0</v>
      </c>
      <c r="H20" s="93">
        <f>'[1]додаток 3'!H38</f>
        <v>0</v>
      </c>
      <c r="I20" s="93">
        <f>'[1]додаток 3'!I38</f>
        <v>0</v>
      </c>
      <c r="J20" s="93">
        <f>'[1]додаток 3'!J38</f>
        <v>1236451.27</v>
      </c>
      <c r="K20" s="93">
        <f>'[1]додаток 3'!K38</f>
        <v>1236451.27</v>
      </c>
      <c r="L20" s="93">
        <f>'[1]додаток 3'!L38</f>
        <v>0</v>
      </c>
      <c r="M20" s="93">
        <f t="shared" si="1"/>
        <v>1490029.09</v>
      </c>
      <c r="N20" s="89"/>
    </row>
    <row r="21" spans="1:14" s="90" customFormat="1" ht="31.5">
      <c r="A21" s="91" t="s">
        <v>448</v>
      </c>
      <c r="B21" s="95" t="s">
        <v>449</v>
      </c>
      <c r="C21" s="93">
        <f>'[1]додаток 3'!C68</f>
        <v>158443.9</v>
      </c>
      <c r="D21" s="93">
        <f>'[1]додаток 3'!D68</f>
        <v>0</v>
      </c>
      <c r="E21" s="93">
        <f>'[1]додаток 3'!E68</f>
        <v>0</v>
      </c>
      <c r="F21" s="93">
        <f>'[1]додаток 3'!F68</f>
        <v>117809.62</v>
      </c>
      <c r="G21" s="93">
        <f>'[1]додаток 3'!G68</f>
        <v>0</v>
      </c>
      <c r="H21" s="93">
        <f>'[1]додаток 3'!H68</f>
        <v>0</v>
      </c>
      <c r="I21" s="93">
        <f>'[1]додаток 3'!I68</f>
        <v>0</v>
      </c>
      <c r="J21" s="93">
        <f>'[1]додаток 3'!J68</f>
        <v>117809.62</v>
      </c>
      <c r="K21" s="93">
        <f>'[1]додаток 3'!K68</f>
        <v>117809.62</v>
      </c>
      <c r="L21" s="93">
        <f>'[1]додаток 3'!L68</f>
        <v>0</v>
      </c>
      <c r="M21" s="93">
        <f t="shared" si="1"/>
        <v>276253.52</v>
      </c>
      <c r="N21" s="89"/>
    </row>
    <row r="22" spans="1:14" s="90" customFormat="1" ht="31.5">
      <c r="A22" s="91" t="s">
        <v>450</v>
      </c>
      <c r="B22" s="92" t="s">
        <v>451</v>
      </c>
      <c r="C22" s="93">
        <f>'[1]додаток 3'!C39+'[1]додаток 3'!C69</f>
        <v>160706.65</v>
      </c>
      <c r="D22" s="93">
        <f>'[1]додаток 3'!D39+'[1]додаток 3'!D69</f>
        <v>0</v>
      </c>
      <c r="E22" s="93">
        <f>'[1]додаток 3'!E39+'[1]додаток 3'!E69</f>
        <v>0</v>
      </c>
      <c r="F22" s="93">
        <f>'[1]додаток 3'!F39+'[1]додаток 3'!F69</f>
        <v>6485</v>
      </c>
      <c r="G22" s="93">
        <f>'[1]додаток 3'!G39+'[1]додаток 3'!G69</f>
        <v>0</v>
      </c>
      <c r="H22" s="93">
        <f>'[1]додаток 3'!H39+'[1]додаток 3'!H69</f>
        <v>0</v>
      </c>
      <c r="I22" s="93">
        <f>'[1]додаток 3'!I39+'[1]додаток 3'!I69</f>
        <v>0</v>
      </c>
      <c r="J22" s="93">
        <f>'[1]додаток 3'!J39+'[1]додаток 3'!J69</f>
        <v>6485</v>
      </c>
      <c r="K22" s="93">
        <f>'[1]додаток 3'!K39+'[1]додаток 3'!K69</f>
        <v>6485</v>
      </c>
      <c r="L22" s="93">
        <f>'[1]додаток 3'!L39+'[1]додаток 3'!L69</f>
        <v>0</v>
      </c>
      <c r="M22" s="93">
        <f t="shared" si="1"/>
        <v>167191.65</v>
      </c>
      <c r="N22" s="89"/>
    </row>
    <row r="23" spans="1:14" s="90" customFormat="1" ht="63">
      <c r="A23" s="91" t="s">
        <v>452</v>
      </c>
      <c r="B23" s="95" t="s">
        <v>453</v>
      </c>
      <c r="C23" s="93">
        <f>'[1]додаток 3'!C70</f>
        <v>502.15</v>
      </c>
      <c r="D23" s="93">
        <f>'[1]додаток 3'!D70</f>
        <v>0</v>
      </c>
      <c r="E23" s="93">
        <f>'[1]додаток 3'!E70</f>
        <v>0</v>
      </c>
      <c r="F23" s="93">
        <f>'[1]додаток 3'!F70</f>
        <v>0</v>
      </c>
      <c r="G23" s="93">
        <f>'[1]додаток 3'!G70</f>
        <v>0</v>
      </c>
      <c r="H23" s="93">
        <f>'[1]додаток 3'!H70</f>
        <v>0</v>
      </c>
      <c r="I23" s="93">
        <f>'[1]додаток 3'!I70</f>
        <v>0</v>
      </c>
      <c r="J23" s="93">
        <f>'[1]додаток 3'!J70</f>
        <v>0</v>
      </c>
      <c r="K23" s="93">
        <f>'[1]додаток 3'!K70</f>
        <v>0</v>
      </c>
      <c r="L23" s="93">
        <f>'[1]додаток 3'!L70</f>
        <v>0</v>
      </c>
      <c r="M23" s="93">
        <f t="shared" si="1"/>
        <v>502.15</v>
      </c>
      <c r="N23" s="89"/>
    </row>
    <row r="24" spans="1:14" s="90" customFormat="1" ht="31.5">
      <c r="A24" s="91" t="s">
        <v>454</v>
      </c>
      <c r="B24" s="92" t="s">
        <v>455</v>
      </c>
      <c r="C24" s="93">
        <f>'[1]додаток 3'!C40</f>
        <v>30118.99</v>
      </c>
      <c r="D24" s="93">
        <f>'[1]додаток 3'!D40</f>
        <v>0</v>
      </c>
      <c r="E24" s="93">
        <f>'[1]додаток 3'!E40</f>
        <v>0</v>
      </c>
      <c r="F24" s="93">
        <f>'[1]додаток 3'!F40</f>
        <v>0</v>
      </c>
      <c r="G24" s="93">
        <f>'[1]додаток 3'!G40</f>
        <v>0</v>
      </c>
      <c r="H24" s="93">
        <f>'[1]додаток 3'!H40</f>
        <v>0</v>
      </c>
      <c r="I24" s="93">
        <f>'[1]додаток 3'!I40</f>
        <v>0</v>
      </c>
      <c r="J24" s="93">
        <f>'[1]додаток 3'!J40</f>
        <v>0</v>
      </c>
      <c r="K24" s="93">
        <f>'[1]додаток 3'!K40</f>
        <v>0</v>
      </c>
      <c r="L24" s="93">
        <f>'[1]додаток 3'!L40</f>
        <v>0</v>
      </c>
      <c r="M24" s="93">
        <f t="shared" si="1"/>
        <v>30118.99</v>
      </c>
      <c r="N24" s="89"/>
    </row>
    <row r="25" spans="1:14" s="90" customFormat="1" ht="31.5">
      <c r="A25" s="91"/>
      <c r="B25" s="92" t="s">
        <v>456</v>
      </c>
      <c r="C25" s="93">
        <f>'[1]додаток 3'!C41</f>
        <v>30118.99</v>
      </c>
      <c r="D25" s="93">
        <f>'[1]додаток 3'!D41</f>
        <v>0</v>
      </c>
      <c r="E25" s="93">
        <f>'[1]додаток 3'!E41</f>
        <v>0</v>
      </c>
      <c r="F25" s="93">
        <f>'[1]додаток 3'!F41</f>
        <v>0</v>
      </c>
      <c r="G25" s="93">
        <f>'[1]додаток 3'!G41</f>
        <v>0</v>
      </c>
      <c r="H25" s="93">
        <f>'[1]додаток 3'!H41</f>
        <v>0</v>
      </c>
      <c r="I25" s="93">
        <f>'[1]додаток 3'!I41</f>
        <v>0</v>
      </c>
      <c r="J25" s="93">
        <f>'[1]додаток 3'!J41</f>
        <v>0</v>
      </c>
      <c r="K25" s="93">
        <f>'[1]додаток 3'!K41</f>
        <v>0</v>
      </c>
      <c r="L25" s="93">
        <f>'[1]додаток 3'!L41</f>
        <v>0</v>
      </c>
      <c r="M25" s="93">
        <f t="shared" si="1"/>
        <v>30118.99</v>
      </c>
      <c r="N25" s="89"/>
    </row>
    <row r="26" spans="1:14" s="90" customFormat="1" ht="63">
      <c r="A26" s="91" t="s">
        <v>457</v>
      </c>
      <c r="B26" s="92" t="s">
        <v>458</v>
      </c>
      <c r="C26" s="93">
        <f>'[1]додаток 3'!C42</f>
        <v>64925.01</v>
      </c>
      <c r="D26" s="93">
        <f>'[1]додаток 3'!D42</f>
        <v>0</v>
      </c>
      <c r="E26" s="93">
        <f>'[1]додаток 3'!E42</f>
        <v>0</v>
      </c>
      <c r="F26" s="93">
        <f>'[1]додаток 3'!F42</f>
        <v>0</v>
      </c>
      <c r="G26" s="93">
        <f>'[1]додаток 3'!G42</f>
        <v>0</v>
      </c>
      <c r="H26" s="93">
        <f>'[1]додаток 3'!H42</f>
        <v>0</v>
      </c>
      <c r="I26" s="93">
        <f>'[1]додаток 3'!I42</f>
        <v>0</v>
      </c>
      <c r="J26" s="93">
        <f>'[1]додаток 3'!J42</f>
        <v>0</v>
      </c>
      <c r="K26" s="93">
        <f>'[1]додаток 3'!K42</f>
        <v>0</v>
      </c>
      <c r="L26" s="93">
        <f>'[1]додаток 3'!L42</f>
        <v>0</v>
      </c>
      <c r="M26" s="93">
        <f t="shared" si="1"/>
        <v>64925.01</v>
      </c>
      <c r="N26" s="89"/>
    </row>
    <row r="27" spans="1:14" s="90" customFormat="1" ht="31.5">
      <c r="A27" s="91" t="s">
        <v>459</v>
      </c>
      <c r="B27" s="92" t="s">
        <v>460</v>
      </c>
      <c r="C27" s="93">
        <f>'[1]додаток 3'!C43</f>
        <v>7889.87</v>
      </c>
      <c r="D27" s="93">
        <f>'[1]додаток 3'!D43</f>
        <v>0</v>
      </c>
      <c r="E27" s="93">
        <f>'[1]додаток 3'!E43</f>
        <v>0</v>
      </c>
      <c r="F27" s="93">
        <f>'[1]додаток 3'!F43</f>
        <v>0</v>
      </c>
      <c r="G27" s="93">
        <f>'[1]додаток 3'!G43</f>
        <v>0</v>
      </c>
      <c r="H27" s="93">
        <f>'[1]додаток 3'!H43</f>
        <v>0</v>
      </c>
      <c r="I27" s="93">
        <f>'[1]додаток 3'!I43</f>
        <v>0</v>
      </c>
      <c r="J27" s="93">
        <f>'[1]додаток 3'!J43</f>
        <v>0</v>
      </c>
      <c r="K27" s="93">
        <f>'[1]додаток 3'!K43</f>
        <v>0</v>
      </c>
      <c r="L27" s="93">
        <f>'[1]додаток 3'!L43</f>
        <v>0</v>
      </c>
      <c r="M27" s="93">
        <f t="shared" si="1"/>
        <v>7889.87</v>
      </c>
      <c r="N27" s="89"/>
    </row>
    <row r="28" spans="1:14" s="90" customFormat="1" ht="24" customHeight="1">
      <c r="A28" s="91" t="s">
        <v>461</v>
      </c>
      <c r="B28" s="92" t="s">
        <v>462</v>
      </c>
      <c r="C28" s="93">
        <f>'[1]додаток 3'!C44</f>
        <v>5928</v>
      </c>
      <c r="D28" s="93">
        <f>'[1]додаток 3'!D44</f>
        <v>0</v>
      </c>
      <c r="E28" s="93">
        <f>'[1]додаток 3'!E44</f>
        <v>0</v>
      </c>
      <c r="F28" s="93">
        <f>'[1]додаток 3'!F44</f>
        <v>15000</v>
      </c>
      <c r="G28" s="93">
        <f>'[1]додаток 3'!G44</f>
        <v>0</v>
      </c>
      <c r="H28" s="93">
        <f>'[1]додаток 3'!H44</f>
        <v>0</v>
      </c>
      <c r="I28" s="93">
        <f>'[1]додаток 3'!I44</f>
        <v>0</v>
      </c>
      <c r="J28" s="93">
        <f>'[1]додаток 3'!J44</f>
        <v>15000</v>
      </c>
      <c r="K28" s="93">
        <f>'[1]додаток 3'!K44</f>
        <v>15000</v>
      </c>
      <c r="L28" s="93">
        <f>'[1]додаток 3'!L44</f>
        <v>0</v>
      </c>
      <c r="M28" s="93">
        <f t="shared" si="1"/>
        <v>20928</v>
      </c>
      <c r="N28" s="89"/>
    </row>
    <row r="29" spans="1:14" s="90" customFormat="1" ht="47.25">
      <c r="A29" s="91"/>
      <c r="B29" s="96" t="s">
        <v>463</v>
      </c>
      <c r="C29" s="93">
        <f>'[1]додаток 3'!C45</f>
        <v>5928</v>
      </c>
      <c r="D29" s="93">
        <f>'[1]додаток 3'!D45</f>
        <v>0</v>
      </c>
      <c r="E29" s="93">
        <f>'[1]додаток 3'!E45</f>
        <v>0</v>
      </c>
      <c r="F29" s="93">
        <f>'[1]додаток 3'!F45</f>
        <v>15000</v>
      </c>
      <c r="G29" s="93">
        <f>'[1]додаток 3'!G45</f>
        <v>0</v>
      </c>
      <c r="H29" s="93">
        <f>'[1]додаток 3'!H45</f>
        <v>0</v>
      </c>
      <c r="I29" s="93">
        <f>'[1]додаток 3'!I45</f>
        <v>0</v>
      </c>
      <c r="J29" s="93">
        <f>'[1]додаток 3'!J45</f>
        <v>15000</v>
      </c>
      <c r="K29" s="93">
        <f>'[1]додаток 3'!K45</f>
        <v>15000</v>
      </c>
      <c r="L29" s="93">
        <f>'[1]додаток 3'!L45</f>
        <v>0</v>
      </c>
      <c r="M29" s="93">
        <f t="shared" si="1"/>
        <v>20928</v>
      </c>
      <c r="N29" s="89"/>
    </row>
    <row r="30" spans="1:14" s="97" customFormat="1" ht="15.75">
      <c r="A30" s="86" t="s">
        <v>464</v>
      </c>
      <c r="B30" s="87" t="s">
        <v>465</v>
      </c>
      <c r="C30" s="88">
        <f>C32+C31+C33+C34+C35+C36+C37+C38+C39+C40+C46</f>
        <v>452181.80000000005</v>
      </c>
      <c r="D30" s="88">
        <f aca="true" t="shared" si="2" ref="D30:M30">D32+D31+D33+D34+D35+D36+D37+D38+D39+D40+D46</f>
        <v>0</v>
      </c>
      <c r="E30" s="88">
        <f t="shared" si="2"/>
        <v>0</v>
      </c>
      <c r="F30" s="88">
        <f t="shared" si="2"/>
        <v>3900</v>
      </c>
      <c r="G30" s="88">
        <f t="shared" si="2"/>
        <v>0</v>
      </c>
      <c r="H30" s="88">
        <f t="shared" si="2"/>
        <v>0</v>
      </c>
      <c r="I30" s="88">
        <f t="shared" si="2"/>
        <v>0</v>
      </c>
      <c r="J30" s="88">
        <f t="shared" si="2"/>
        <v>3900</v>
      </c>
      <c r="K30" s="88">
        <f t="shared" si="2"/>
        <v>3900</v>
      </c>
      <c r="L30" s="88">
        <f t="shared" si="2"/>
        <v>0</v>
      </c>
      <c r="M30" s="88">
        <f t="shared" si="2"/>
        <v>456081.80000000005</v>
      </c>
      <c r="N30" s="89"/>
    </row>
    <row r="31" spans="1:14" s="97" customFormat="1" ht="15.75">
      <c r="A31" s="91" t="s">
        <v>466</v>
      </c>
      <c r="B31" s="98" t="s">
        <v>467</v>
      </c>
      <c r="C31" s="93">
        <f>'[1]додаток 3'!C72</f>
        <v>130269.43</v>
      </c>
      <c r="D31" s="93">
        <f>'[1]додаток 3'!D72</f>
        <v>0</v>
      </c>
      <c r="E31" s="93">
        <f>'[1]додаток 3'!E72</f>
        <v>0</v>
      </c>
      <c r="F31" s="93">
        <f>'[1]додаток 3'!F72</f>
        <v>0</v>
      </c>
      <c r="G31" s="93">
        <f>'[1]додаток 3'!G72</f>
        <v>0</v>
      </c>
      <c r="H31" s="93">
        <f>'[1]додаток 3'!H72</f>
        <v>0</v>
      </c>
      <c r="I31" s="93">
        <f>'[1]додаток 3'!I72</f>
        <v>0</v>
      </c>
      <c r="J31" s="93">
        <f>'[1]додаток 3'!J72</f>
        <v>0</v>
      </c>
      <c r="K31" s="93">
        <f>'[1]додаток 3'!K72</f>
        <v>0</v>
      </c>
      <c r="L31" s="93">
        <f>'[1]додаток 3'!L72</f>
        <v>0</v>
      </c>
      <c r="M31" s="93">
        <f t="shared" si="1"/>
        <v>130269.43</v>
      </c>
      <c r="N31" s="89"/>
    </row>
    <row r="32" spans="1:14" s="97" customFormat="1" ht="94.5">
      <c r="A32" s="91" t="s">
        <v>468</v>
      </c>
      <c r="B32" s="95" t="s">
        <v>469</v>
      </c>
      <c r="C32" s="93">
        <f>'[1]додаток 3'!C73</f>
        <v>157878.1</v>
      </c>
      <c r="D32" s="93">
        <f>'[1]додаток 3'!D73</f>
        <v>0</v>
      </c>
      <c r="E32" s="93">
        <f>'[1]додаток 3'!E73</f>
        <v>0</v>
      </c>
      <c r="F32" s="93">
        <f>'[1]додаток 3'!F73</f>
        <v>3900</v>
      </c>
      <c r="G32" s="93">
        <f>'[1]додаток 3'!G73</f>
        <v>0</v>
      </c>
      <c r="H32" s="93">
        <f>'[1]додаток 3'!H73</f>
        <v>0</v>
      </c>
      <c r="I32" s="93">
        <f>'[1]додаток 3'!I73</f>
        <v>0</v>
      </c>
      <c r="J32" s="93">
        <f>'[1]додаток 3'!J73</f>
        <v>3900</v>
      </c>
      <c r="K32" s="93">
        <f>'[1]додаток 3'!K73</f>
        <v>3900</v>
      </c>
      <c r="L32" s="93">
        <f>'[1]додаток 3'!L73</f>
        <v>0</v>
      </c>
      <c r="M32" s="93">
        <f t="shared" si="1"/>
        <v>161778.1</v>
      </c>
      <c r="N32" s="89"/>
    </row>
    <row r="33" spans="1:14" s="97" customFormat="1" ht="31.5">
      <c r="A33" s="91" t="s">
        <v>470</v>
      </c>
      <c r="B33" s="95" t="s">
        <v>471</v>
      </c>
      <c r="C33" s="93">
        <f>'[1]додаток 3'!C74</f>
        <v>24586.05</v>
      </c>
      <c r="D33" s="93">
        <f>'[1]додаток 3'!D74</f>
        <v>0</v>
      </c>
      <c r="E33" s="93">
        <f>'[1]додаток 3'!E74</f>
        <v>0</v>
      </c>
      <c r="F33" s="93">
        <f>'[1]додаток 3'!F74</f>
        <v>0</v>
      </c>
      <c r="G33" s="93">
        <f>'[1]додаток 3'!G74</f>
        <v>0</v>
      </c>
      <c r="H33" s="93">
        <f>'[1]додаток 3'!H74</f>
        <v>0</v>
      </c>
      <c r="I33" s="93">
        <f>'[1]додаток 3'!I74</f>
        <v>0</v>
      </c>
      <c r="J33" s="93">
        <f>'[1]додаток 3'!J74</f>
        <v>0</v>
      </c>
      <c r="K33" s="93">
        <f>'[1]додаток 3'!K74</f>
        <v>0</v>
      </c>
      <c r="L33" s="93">
        <f>'[1]додаток 3'!L74</f>
        <v>0</v>
      </c>
      <c r="M33" s="93">
        <f t="shared" si="1"/>
        <v>24586.05</v>
      </c>
      <c r="N33" s="89"/>
    </row>
    <row r="34" spans="1:14" s="97" customFormat="1" ht="31.5">
      <c r="A34" s="91" t="s">
        <v>472</v>
      </c>
      <c r="B34" s="95" t="s">
        <v>473</v>
      </c>
      <c r="C34" s="93">
        <f>'[1]додаток 3'!C75</f>
        <v>47883.95</v>
      </c>
      <c r="D34" s="93">
        <f>'[1]додаток 3'!D75</f>
        <v>0</v>
      </c>
      <c r="E34" s="93">
        <f>'[1]додаток 3'!E75</f>
        <v>0</v>
      </c>
      <c r="F34" s="93">
        <f>'[1]додаток 3'!F75</f>
        <v>0</v>
      </c>
      <c r="G34" s="93">
        <f>'[1]додаток 3'!G75</f>
        <v>0</v>
      </c>
      <c r="H34" s="93">
        <f>'[1]додаток 3'!H75</f>
        <v>0</v>
      </c>
      <c r="I34" s="93">
        <f>'[1]додаток 3'!I75</f>
        <v>0</v>
      </c>
      <c r="J34" s="93">
        <f>'[1]додаток 3'!J75</f>
        <v>0</v>
      </c>
      <c r="K34" s="93">
        <f>'[1]додаток 3'!K75</f>
        <v>0</v>
      </c>
      <c r="L34" s="93">
        <f>'[1]додаток 3'!L75</f>
        <v>0</v>
      </c>
      <c r="M34" s="93">
        <f t="shared" si="1"/>
        <v>47883.95</v>
      </c>
      <c r="N34" s="89"/>
    </row>
    <row r="35" spans="1:14" s="97" customFormat="1" ht="15.75">
      <c r="A35" s="91" t="s">
        <v>474</v>
      </c>
      <c r="B35" s="95" t="s">
        <v>475</v>
      </c>
      <c r="C35" s="93">
        <f>'[1]додаток 3'!C76</f>
        <v>6664.61</v>
      </c>
      <c r="D35" s="93">
        <f>'[1]додаток 3'!D76</f>
        <v>0</v>
      </c>
      <c r="E35" s="93">
        <f>'[1]додаток 3'!E76</f>
        <v>0</v>
      </c>
      <c r="F35" s="93">
        <f>'[1]додаток 3'!F76</f>
        <v>0</v>
      </c>
      <c r="G35" s="93">
        <f>'[1]додаток 3'!G76</f>
        <v>0</v>
      </c>
      <c r="H35" s="93">
        <f>'[1]додаток 3'!H76</f>
        <v>0</v>
      </c>
      <c r="I35" s="93">
        <f>'[1]додаток 3'!I76</f>
        <v>0</v>
      </c>
      <c r="J35" s="93">
        <f>'[1]додаток 3'!J76</f>
        <v>0</v>
      </c>
      <c r="K35" s="93">
        <f>'[1]додаток 3'!K76</f>
        <v>0</v>
      </c>
      <c r="L35" s="93">
        <f>'[1]додаток 3'!L76</f>
        <v>0</v>
      </c>
      <c r="M35" s="93">
        <f t="shared" si="1"/>
        <v>6664.61</v>
      </c>
      <c r="N35" s="89"/>
    </row>
    <row r="36" spans="1:14" s="97" customFormat="1" ht="15.75">
      <c r="A36" s="91" t="s">
        <v>476</v>
      </c>
      <c r="B36" s="95" t="s">
        <v>477</v>
      </c>
      <c r="C36" s="93">
        <f>'[1]додаток 3'!C77</f>
        <v>10666.2</v>
      </c>
      <c r="D36" s="93">
        <f>'[1]додаток 3'!D77</f>
        <v>0</v>
      </c>
      <c r="E36" s="93">
        <f>'[1]додаток 3'!E77</f>
        <v>0</v>
      </c>
      <c r="F36" s="93">
        <f>'[1]додаток 3'!F77</f>
        <v>0</v>
      </c>
      <c r="G36" s="93">
        <f>'[1]додаток 3'!G77</f>
        <v>0</v>
      </c>
      <c r="H36" s="93">
        <f>'[1]додаток 3'!H77</f>
        <v>0</v>
      </c>
      <c r="I36" s="93">
        <f>'[1]додаток 3'!I77</f>
        <v>0</v>
      </c>
      <c r="J36" s="93">
        <f>'[1]додаток 3'!J77</f>
        <v>0</v>
      </c>
      <c r="K36" s="93">
        <f>'[1]додаток 3'!K77</f>
        <v>0</v>
      </c>
      <c r="L36" s="93">
        <f>'[1]додаток 3'!L77</f>
        <v>0</v>
      </c>
      <c r="M36" s="93">
        <f t="shared" si="1"/>
        <v>10666.2</v>
      </c>
      <c r="N36" s="89"/>
    </row>
    <row r="37" spans="1:14" s="97" customFormat="1" ht="94.5">
      <c r="A37" s="91" t="s">
        <v>478</v>
      </c>
      <c r="B37" s="95" t="s">
        <v>479</v>
      </c>
      <c r="C37" s="93">
        <f>'[1]додаток 3'!C78</f>
        <v>8879.57</v>
      </c>
      <c r="D37" s="93">
        <f>'[1]додаток 3'!D78</f>
        <v>0</v>
      </c>
      <c r="E37" s="93">
        <f>'[1]додаток 3'!E78</f>
        <v>0</v>
      </c>
      <c r="F37" s="93">
        <f>'[1]додаток 3'!F78</f>
        <v>0</v>
      </c>
      <c r="G37" s="93">
        <f>'[1]додаток 3'!G78</f>
        <v>0</v>
      </c>
      <c r="H37" s="93">
        <f>'[1]додаток 3'!H78</f>
        <v>0</v>
      </c>
      <c r="I37" s="93">
        <f>'[1]додаток 3'!I78</f>
        <v>0</v>
      </c>
      <c r="J37" s="93">
        <f>'[1]додаток 3'!J78</f>
        <v>0</v>
      </c>
      <c r="K37" s="93">
        <f>'[1]додаток 3'!K78</f>
        <v>0</v>
      </c>
      <c r="L37" s="93">
        <f>'[1]додаток 3'!L78</f>
        <v>0</v>
      </c>
      <c r="M37" s="93">
        <f t="shared" si="1"/>
        <v>8879.57</v>
      </c>
      <c r="N37" s="89"/>
    </row>
    <row r="38" spans="1:14" s="97" customFormat="1" ht="31.5">
      <c r="A38" s="91" t="s">
        <v>480</v>
      </c>
      <c r="B38" s="95" t="s">
        <v>481</v>
      </c>
      <c r="C38" s="93">
        <f>'[1]додаток 3'!C79</f>
        <v>5291.8</v>
      </c>
      <c r="D38" s="93">
        <f>'[1]додаток 3'!D79</f>
        <v>0</v>
      </c>
      <c r="E38" s="93">
        <f>'[1]додаток 3'!E79</f>
        <v>0</v>
      </c>
      <c r="F38" s="93">
        <f>'[1]додаток 3'!F79</f>
        <v>0</v>
      </c>
      <c r="G38" s="93">
        <f>'[1]додаток 3'!G79</f>
        <v>0</v>
      </c>
      <c r="H38" s="93">
        <f>'[1]додаток 3'!H79</f>
        <v>0</v>
      </c>
      <c r="I38" s="93">
        <f>'[1]додаток 3'!I79</f>
        <v>0</v>
      </c>
      <c r="J38" s="93">
        <f>'[1]додаток 3'!J79</f>
        <v>0</v>
      </c>
      <c r="K38" s="93">
        <f>'[1]додаток 3'!K79</f>
        <v>0</v>
      </c>
      <c r="L38" s="93">
        <f>'[1]додаток 3'!L79</f>
        <v>0</v>
      </c>
      <c r="M38" s="93">
        <f t="shared" si="1"/>
        <v>5291.8</v>
      </c>
      <c r="N38" s="89"/>
    </row>
    <row r="39" spans="1:14" s="97" customFormat="1" ht="31.5">
      <c r="A39" s="91" t="s">
        <v>482</v>
      </c>
      <c r="B39" s="95" t="s">
        <v>483</v>
      </c>
      <c r="C39" s="93">
        <f>'[1]додаток 3'!C80</f>
        <v>42468.15</v>
      </c>
      <c r="D39" s="93">
        <f>'[1]додаток 3'!D80</f>
        <v>0</v>
      </c>
      <c r="E39" s="93">
        <f>'[1]додаток 3'!E80</f>
        <v>0</v>
      </c>
      <c r="F39" s="93">
        <f>'[1]додаток 3'!F80</f>
        <v>0</v>
      </c>
      <c r="G39" s="93">
        <f>'[1]додаток 3'!G80</f>
        <v>0</v>
      </c>
      <c r="H39" s="93">
        <f>'[1]додаток 3'!H80</f>
        <v>0</v>
      </c>
      <c r="I39" s="93">
        <f>'[1]додаток 3'!I80</f>
        <v>0</v>
      </c>
      <c r="J39" s="93">
        <f>'[1]додаток 3'!J80</f>
        <v>0</v>
      </c>
      <c r="K39" s="93">
        <f>'[1]додаток 3'!K80</f>
        <v>0</v>
      </c>
      <c r="L39" s="93">
        <f>'[1]додаток 3'!L80</f>
        <v>0</v>
      </c>
      <c r="M39" s="93">
        <f t="shared" si="1"/>
        <v>42468.15</v>
      </c>
      <c r="N39" s="89"/>
    </row>
    <row r="40" spans="1:14" s="97" customFormat="1" ht="15.75">
      <c r="A40" s="91" t="s">
        <v>484</v>
      </c>
      <c r="B40" s="95" t="s">
        <v>485</v>
      </c>
      <c r="C40" s="93">
        <f>'[1]додаток 3'!C81</f>
        <v>15322.37</v>
      </c>
      <c r="D40" s="93">
        <f>'[1]додаток 3'!D81</f>
        <v>0</v>
      </c>
      <c r="E40" s="93">
        <f>'[1]додаток 3'!E81</f>
        <v>0</v>
      </c>
      <c r="F40" s="93">
        <f>'[1]додаток 3'!F81</f>
        <v>0</v>
      </c>
      <c r="G40" s="93">
        <f>'[1]додаток 3'!G81</f>
        <v>0</v>
      </c>
      <c r="H40" s="93">
        <f>'[1]додаток 3'!H81</f>
        <v>0</v>
      </c>
      <c r="I40" s="93">
        <f>'[1]додаток 3'!I81</f>
        <v>0</v>
      </c>
      <c r="J40" s="93">
        <f>'[1]додаток 3'!J81</f>
        <v>0</v>
      </c>
      <c r="K40" s="93">
        <f>'[1]додаток 3'!K81</f>
        <v>0</v>
      </c>
      <c r="L40" s="93">
        <f>'[1]додаток 3'!L81</f>
        <v>0</v>
      </c>
      <c r="M40" s="93">
        <f t="shared" si="1"/>
        <v>15322.37</v>
      </c>
      <c r="N40" s="89"/>
    </row>
    <row r="41" spans="1:14" s="97" customFormat="1" ht="63">
      <c r="A41" s="91"/>
      <c r="B41" s="95" t="s">
        <v>486</v>
      </c>
      <c r="C41" s="93">
        <f>'[1]додаток 3'!C82</f>
        <v>1083.03</v>
      </c>
      <c r="D41" s="93"/>
      <c r="E41" s="93"/>
      <c r="F41" s="93"/>
      <c r="G41" s="93"/>
      <c r="H41" s="93"/>
      <c r="I41" s="93"/>
      <c r="J41" s="93"/>
      <c r="K41" s="93"/>
      <c r="L41" s="93"/>
      <c r="M41" s="93">
        <f t="shared" si="1"/>
        <v>1083.03</v>
      </c>
      <c r="N41" s="89"/>
    </row>
    <row r="42" spans="1:14" s="97" customFormat="1" ht="31.5">
      <c r="A42" s="91"/>
      <c r="B42" s="95" t="s">
        <v>487</v>
      </c>
      <c r="C42" s="93">
        <f>'[1]додаток 3'!C83</f>
        <v>4041.39</v>
      </c>
      <c r="D42" s="93"/>
      <c r="E42" s="93"/>
      <c r="F42" s="93"/>
      <c r="G42" s="93"/>
      <c r="H42" s="93"/>
      <c r="I42" s="93"/>
      <c r="J42" s="93"/>
      <c r="K42" s="93"/>
      <c r="L42" s="93"/>
      <c r="M42" s="93">
        <f t="shared" si="1"/>
        <v>4041.39</v>
      </c>
      <c r="N42" s="89"/>
    </row>
    <row r="43" spans="1:14" s="97" customFormat="1" ht="47.25">
      <c r="A43" s="91"/>
      <c r="B43" s="95" t="s">
        <v>488</v>
      </c>
      <c r="C43" s="93">
        <f>'[1]додаток 3'!C84</f>
        <v>2607</v>
      </c>
      <c r="D43" s="93"/>
      <c r="E43" s="93"/>
      <c r="F43" s="93"/>
      <c r="G43" s="93"/>
      <c r="H43" s="93"/>
      <c r="I43" s="93"/>
      <c r="J43" s="93"/>
      <c r="K43" s="93"/>
      <c r="L43" s="93"/>
      <c r="M43" s="93">
        <f t="shared" si="1"/>
        <v>2607</v>
      </c>
      <c r="N43" s="89"/>
    </row>
    <row r="44" spans="1:14" s="97" customFormat="1" ht="31.5">
      <c r="A44" s="91"/>
      <c r="B44" s="95" t="s">
        <v>489</v>
      </c>
      <c r="C44" s="93">
        <f>'[1]додаток 3'!C85</f>
        <v>5111.3</v>
      </c>
      <c r="D44" s="93"/>
      <c r="E44" s="93"/>
      <c r="F44" s="93"/>
      <c r="G44" s="93"/>
      <c r="H44" s="93"/>
      <c r="I44" s="93"/>
      <c r="J44" s="93"/>
      <c r="K44" s="93"/>
      <c r="L44" s="93"/>
      <c r="M44" s="93">
        <f t="shared" si="1"/>
        <v>5111.3</v>
      </c>
      <c r="N44" s="89"/>
    </row>
    <row r="45" spans="1:14" s="97" customFormat="1" ht="63">
      <c r="A45" s="91"/>
      <c r="B45" s="95" t="s">
        <v>490</v>
      </c>
      <c r="C45" s="93">
        <f>'[1]додаток 3'!C86</f>
        <v>2479.65</v>
      </c>
      <c r="D45" s="93"/>
      <c r="E45" s="93"/>
      <c r="F45" s="93"/>
      <c r="G45" s="93"/>
      <c r="H45" s="93"/>
      <c r="I45" s="93"/>
      <c r="J45" s="93"/>
      <c r="K45" s="93"/>
      <c r="L45" s="93"/>
      <c r="M45" s="93">
        <f t="shared" si="1"/>
        <v>2479.65</v>
      </c>
      <c r="N45" s="89"/>
    </row>
    <row r="46" spans="1:14" s="97" customFormat="1" ht="94.5">
      <c r="A46" s="91" t="s">
        <v>491</v>
      </c>
      <c r="B46" s="95" t="s">
        <v>492</v>
      </c>
      <c r="C46" s="93">
        <f>'[1]додаток 3'!C87</f>
        <v>2271.57</v>
      </c>
      <c r="D46" s="93">
        <f>'[1]додаток 3'!D87</f>
        <v>0</v>
      </c>
      <c r="E46" s="93">
        <f>'[1]додаток 3'!E87</f>
        <v>0</v>
      </c>
      <c r="F46" s="93">
        <f>'[1]додаток 3'!F87</f>
        <v>0</v>
      </c>
      <c r="G46" s="93">
        <f>'[1]додаток 3'!G87</f>
        <v>0</v>
      </c>
      <c r="H46" s="93">
        <f>'[1]додаток 3'!H87</f>
        <v>0</v>
      </c>
      <c r="I46" s="93">
        <f>'[1]додаток 3'!I87</f>
        <v>0</v>
      </c>
      <c r="J46" s="93">
        <f>'[1]додаток 3'!J87</f>
        <v>0</v>
      </c>
      <c r="K46" s="93">
        <f>'[1]додаток 3'!K87</f>
        <v>0</v>
      </c>
      <c r="L46" s="93">
        <f>'[1]додаток 3'!L87</f>
        <v>0</v>
      </c>
      <c r="M46" s="93">
        <f t="shared" si="1"/>
        <v>2271.57</v>
      </c>
      <c r="N46" s="89"/>
    </row>
    <row r="47" spans="1:14" s="99" customFormat="1" ht="31.5">
      <c r="A47" s="86" t="s">
        <v>493</v>
      </c>
      <c r="B47" s="87" t="s">
        <v>494</v>
      </c>
      <c r="C47" s="88">
        <f>C48+C49+C50+C51+C52+C55+C59+C60+C61</f>
        <v>2865950.19</v>
      </c>
      <c r="D47" s="88">
        <f aca="true" t="shared" si="3" ref="D47:L47">D48+D49+D50+D51+D52+D55+D59+D60+D61</f>
        <v>526700</v>
      </c>
      <c r="E47" s="88">
        <f t="shared" si="3"/>
        <v>178000</v>
      </c>
      <c r="F47" s="88">
        <f t="shared" si="3"/>
        <v>0</v>
      </c>
      <c r="G47" s="88">
        <f t="shared" si="3"/>
        <v>0</v>
      </c>
      <c r="H47" s="88">
        <f t="shared" si="3"/>
        <v>0</v>
      </c>
      <c r="I47" s="88">
        <f t="shared" si="3"/>
        <v>0</v>
      </c>
      <c r="J47" s="88">
        <f t="shared" si="3"/>
        <v>0</v>
      </c>
      <c r="K47" s="88">
        <f t="shared" si="3"/>
        <v>0</v>
      </c>
      <c r="L47" s="88">
        <f t="shared" si="3"/>
        <v>0</v>
      </c>
      <c r="M47" s="88">
        <f>C47+F47</f>
        <v>2865950.19</v>
      </c>
      <c r="N47" s="89"/>
    </row>
    <row r="48" spans="1:14" s="99" customFormat="1" ht="31.5">
      <c r="A48" s="91" t="s">
        <v>495</v>
      </c>
      <c r="B48" s="95" t="s">
        <v>496</v>
      </c>
      <c r="C48" s="93">
        <f>'[1]додаток 3'!C94</f>
        <v>29600.86</v>
      </c>
      <c r="D48" s="100">
        <f>'[1]додаток 3'!D94</f>
        <v>0</v>
      </c>
      <c r="E48" s="100">
        <f>'[1]додаток 3'!E94</f>
        <v>0</v>
      </c>
      <c r="F48" s="93">
        <f>'[1]додаток 3'!F94</f>
        <v>0</v>
      </c>
      <c r="G48" s="100">
        <f>'[1]додаток 3'!G94</f>
        <v>0</v>
      </c>
      <c r="H48" s="100">
        <f>'[1]додаток 3'!H94</f>
        <v>0</v>
      </c>
      <c r="I48" s="100">
        <f>'[1]додаток 3'!I94</f>
        <v>0</v>
      </c>
      <c r="J48" s="100">
        <f>'[1]додаток 3'!J94</f>
        <v>0</v>
      </c>
      <c r="K48" s="100">
        <f>'[1]додаток 3'!K94</f>
        <v>0</v>
      </c>
      <c r="L48" s="100">
        <f>'[1]додаток 3'!L94</f>
        <v>0</v>
      </c>
      <c r="M48" s="93">
        <f aca="true" t="shared" si="4" ref="M48:M68">C48+F48</f>
        <v>29600.86</v>
      </c>
      <c r="N48" s="89"/>
    </row>
    <row r="49" spans="1:14" s="99" customFormat="1" ht="63">
      <c r="A49" s="91" t="s">
        <v>497</v>
      </c>
      <c r="B49" s="96" t="s">
        <v>498</v>
      </c>
      <c r="C49" s="93">
        <f>'[1]додаток 3'!C101+'[1]додаток 3'!C51</f>
        <v>34646.61</v>
      </c>
      <c r="D49" s="100">
        <f>'[1]додаток 3'!D101+'[1]додаток 3'!D51</f>
        <v>0</v>
      </c>
      <c r="E49" s="100">
        <f>'[1]додаток 3'!E101+'[1]додаток 3'!E51</f>
        <v>0</v>
      </c>
      <c r="F49" s="93">
        <f>'[1]додаток 3'!F101+'[1]додаток 3'!F51</f>
        <v>0</v>
      </c>
      <c r="G49" s="100">
        <f>'[1]додаток 3'!G101+'[1]додаток 3'!G51</f>
        <v>0</v>
      </c>
      <c r="H49" s="100">
        <f>'[1]додаток 3'!H101+'[1]додаток 3'!H51</f>
        <v>0</v>
      </c>
      <c r="I49" s="100">
        <f>'[1]додаток 3'!I101+'[1]додаток 3'!I51</f>
        <v>0</v>
      </c>
      <c r="J49" s="100">
        <f>'[1]додаток 3'!J101+'[1]додаток 3'!J51</f>
        <v>0</v>
      </c>
      <c r="K49" s="100">
        <f>'[1]додаток 3'!K101+'[1]додаток 3'!K51</f>
        <v>0</v>
      </c>
      <c r="L49" s="100">
        <f>'[1]додаток 3'!L101+'[1]додаток 3'!L51</f>
        <v>0</v>
      </c>
      <c r="M49" s="93">
        <f t="shared" si="4"/>
        <v>34646.61</v>
      </c>
      <c r="N49" s="89"/>
    </row>
    <row r="50" spans="1:14" s="99" customFormat="1" ht="47.25">
      <c r="A50" s="91" t="s">
        <v>499</v>
      </c>
      <c r="B50" s="101" t="s">
        <v>500</v>
      </c>
      <c r="C50" s="93">
        <f>'[1]додаток 3'!C95</f>
        <v>371105.44</v>
      </c>
      <c r="D50" s="100">
        <f>'[1]додаток 3'!D95</f>
        <v>0</v>
      </c>
      <c r="E50" s="100">
        <f>'[1]додаток 3'!E95</f>
        <v>0</v>
      </c>
      <c r="F50" s="93">
        <f>'[1]додаток 3'!F95</f>
        <v>0</v>
      </c>
      <c r="G50" s="100">
        <f>'[1]додаток 3'!G95</f>
        <v>0</v>
      </c>
      <c r="H50" s="100">
        <f>'[1]додаток 3'!H95</f>
        <v>0</v>
      </c>
      <c r="I50" s="100">
        <f>'[1]додаток 3'!I95</f>
        <v>0</v>
      </c>
      <c r="J50" s="100">
        <f>'[1]додаток 3'!J95</f>
        <v>0</v>
      </c>
      <c r="K50" s="100">
        <f>'[1]додаток 3'!K95</f>
        <v>0</v>
      </c>
      <c r="L50" s="100">
        <f>'[1]додаток 3'!L95</f>
        <v>0</v>
      </c>
      <c r="M50" s="93">
        <f t="shared" si="4"/>
        <v>371105.44</v>
      </c>
      <c r="N50" s="89"/>
    </row>
    <row r="51" spans="1:14" s="99" customFormat="1" ht="31.5">
      <c r="A51" s="91" t="s">
        <v>501</v>
      </c>
      <c r="B51" s="96" t="s">
        <v>502</v>
      </c>
      <c r="C51" s="93">
        <f>'[1]додаток 3'!C52</f>
        <v>27335.1</v>
      </c>
      <c r="D51" s="100">
        <f>'[1]додаток 3'!D52</f>
        <v>0</v>
      </c>
      <c r="E51" s="100">
        <f>'[1]додаток 3'!E52</f>
        <v>0</v>
      </c>
      <c r="F51" s="93">
        <f>'[1]додаток 3'!F52</f>
        <v>0</v>
      </c>
      <c r="G51" s="100">
        <f>'[1]додаток 3'!G52</f>
        <v>0</v>
      </c>
      <c r="H51" s="100">
        <f>'[1]додаток 3'!H52</f>
        <v>0</v>
      </c>
      <c r="I51" s="100">
        <f>'[1]додаток 3'!I52</f>
        <v>0</v>
      </c>
      <c r="J51" s="100">
        <f>'[1]додаток 3'!J52</f>
        <v>0</v>
      </c>
      <c r="K51" s="100">
        <f>'[1]додаток 3'!K52</f>
        <v>0</v>
      </c>
      <c r="L51" s="100">
        <f>'[1]додаток 3'!L52</f>
        <v>0</v>
      </c>
      <c r="M51" s="93">
        <f t="shared" si="4"/>
        <v>27335.1</v>
      </c>
      <c r="N51" s="89"/>
    </row>
    <row r="52" spans="1:14" s="99" customFormat="1" ht="47.25">
      <c r="A52" s="91" t="s">
        <v>503</v>
      </c>
      <c r="B52" s="96" t="s">
        <v>504</v>
      </c>
      <c r="C52" s="93">
        <f>'[1]додаток 3'!C53</f>
        <v>19920.49</v>
      </c>
      <c r="D52" s="100">
        <f>'[1]додаток 3'!D53</f>
        <v>0</v>
      </c>
      <c r="E52" s="100">
        <f>'[1]додаток 3'!E53</f>
        <v>0</v>
      </c>
      <c r="F52" s="93">
        <f>'[1]додаток 3'!F53</f>
        <v>0</v>
      </c>
      <c r="G52" s="100">
        <f>'[1]додаток 3'!G53</f>
        <v>0</v>
      </c>
      <c r="H52" s="100">
        <f>'[1]додаток 3'!H53</f>
        <v>0</v>
      </c>
      <c r="I52" s="100">
        <f>'[1]додаток 3'!I53</f>
        <v>0</v>
      </c>
      <c r="J52" s="100">
        <f>'[1]додаток 3'!J53</f>
        <v>0</v>
      </c>
      <c r="K52" s="100">
        <f>'[1]додаток 3'!K53</f>
        <v>0</v>
      </c>
      <c r="L52" s="100">
        <f>'[1]додаток 3'!L53</f>
        <v>0</v>
      </c>
      <c r="M52" s="93">
        <f t="shared" si="4"/>
        <v>19920.49</v>
      </c>
      <c r="N52" s="89"/>
    </row>
    <row r="53" spans="1:14" s="99" customFormat="1" ht="31.5">
      <c r="A53" s="91" t="s">
        <v>380</v>
      </c>
      <c r="B53" s="96" t="s">
        <v>505</v>
      </c>
      <c r="C53" s="93">
        <f>'[1]додаток 3'!C54</f>
        <v>18732.49</v>
      </c>
      <c r="D53" s="100">
        <f>'[1]додаток 3'!D54</f>
        <v>0</v>
      </c>
      <c r="E53" s="100">
        <f>'[1]додаток 3'!E54</f>
        <v>0</v>
      </c>
      <c r="F53" s="93">
        <f>'[1]додаток 3'!F54</f>
        <v>0</v>
      </c>
      <c r="G53" s="100">
        <f>'[1]додаток 3'!G54</f>
        <v>0</v>
      </c>
      <c r="H53" s="100">
        <f>'[1]додаток 3'!H54</f>
        <v>0</v>
      </c>
      <c r="I53" s="100">
        <f>'[1]додаток 3'!I54</f>
        <v>0</v>
      </c>
      <c r="J53" s="100">
        <f>'[1]додаток 3'!J54</f>
        <v>0</v>
      </c>
      <c r="K53" s="100">
        <f>'[1]додаток 3'!K54</f>
        <v>0</v>
      </c>
      <c r="L53" s="100">
        <f>'[1]додаток 3'!L54</f>
        <v>0</v>
      </c>
      <c r="M53" s="93">
        <f t="shared" si="4"/>
        <v>18732.49</v>
      </c>
      <c r="N53" s="89"/>
    </row>
    <row r="54" spans="1:14" s="99" customFormat="1" ht="78.75">
      <c r="A54" s="91"/>
      <c r="B54" s="95" t="s">
        <v>506</v>
      </c>
      <c r="C54" s="93">
        <f>'[1]додаток 3'!C55</f>
        <v>1188</v>
      </c>
      <c r="D54" s="100">
        <f>'[1]додаток 3'!D55</f>
        <v>0</v>
      </c>
      <c r="E54" s="100">
        <f>'[1]додаток 3'!E55</f>
        <v>0</v>
      </c>
      <c r="F54" s="93">
        <f>'[1]додаток 3'!F55</f>
        <v>0</v>
      </c>
      <c r="G54" s="100">
        <f>'[1]додаток 3'!G55</f>
        <v>0</v>
      </c>
      <c r="H54" s="100">
        <f>'[1]додаток 3'!H55</f>
        <v>0</v>
      </c>
      <c r="I54" s="100">
        <f>'[1]додаток 3'!I55</f>
        <v>0</v>
      </c>
      <c r="J54" s="100">
        <f>'[1]додаток 3'!J55</f>
        <v>0</v>
      </c>
      <c r="K54" s="100">
        <f>'[1]додаток 3'!K55</f>
        <v>0</v>
      </c>
      <c r="L54" s="100">
        <f>'[1]додаток 3'!L55</f>
        <v>0</v>
      </c>
      <c r="M54" s="93">
        <f t="shared" si="4"/>
        <v>1188</v>
      </c>
      <c r="N54" s="89"/>
    </row>
    <row r="55" spans="1:14" s="99" customFormat="1" ht="15.75">
      <c r="A55" s="91" t="s">
        <v>507</v>
      </c>
      <c r="B55" s="96" t="s">
        <v>508</v>
      </c>
      <c r="C55" s="93">
        <f>'[1]додаток 3'!C56</f>
        <v>3523.5</v>
      </c>
      <c r="D55" s="100">
        <f>'[1]додаток 3'!D56</f>
        <v>0</v>
      </c>
      <c r="E55" s="100">
        <f>'[1]додаток 3'!E56</f>
        <v>0</v>
      </c>
      <c r="F55" s="93">
        <f>'[1]додаток 3'!F56</f>
        <v>0</v>
      </c>
      <c r="G55" s="100">
        <f>'[1]додаток 3'!G56</f>
        <v>0</v>
      </c>
      <c r="H55" s="100">
        <f>'[1]додаток 3'!H56</f>
        <v>0</v>
      </c>
      <c r="I55" s="100">
        <f>'[1]додаток 3'!I56</f>
        <v>0</v>
      </c>
      <c r="J55" s="100">
        <f>'[1]додаток 3'!J56</f>
        <v>0</v>
      </c>
      <c r="K55" s="100">
        <f>'[1]додаток 3'!K56</f>
        <v>0</v>
      </c>
      <c r="L55" s="100">
        <f>'[1]додаток 3'!L56</f>
        <v>0</v>
      </c>
      <c r="M55" s="93">
        <f t="shared" si="4"/>
        <v>3523.5</v>
      </c>
      <c r="N55" s="89"/>
    </row>
    <row r="56" spans="1:14" s="99" customFormat="1" ht="47.25">
      <c r="A56" s="91"/>
      <c r="B56" s="96" t="s">
        <v>509</v>
      </c>
      <c r="C56" s="93">
        <f>'[1]додаток 3'!C57</f>
        <v>453.5</v>
      </c>
      <c r="D56" s="100">
        <f>'[1]додаток 3'!D57</f>
        <v>0</v>
      </c>
      <c r="E56" s="100">
        <f>'[1]додаток 3'!E57</f>
        <v>0</v>
      </c>
      <c r="F56" s="93">
        <f>'[1]додаток 3'!F57</f>
        <v>0</v>
      </c>
      <c r="G56" s="100">
        <f>'[1]додаток 3'!G57</f>
        <v>0</v>
      </c>
      <c r="H56" s="100">
        <f>'[1]додаток 3'!H57</f>
        <v>0</v>
      </c>
      <c r="I56" s="100">
        <f>'[1]додаток 3'!I57</f>
        <v>0</v>
      </c>
      <c r="J56" s="100">
        <f>'[1]додаток 3'!J57</f>
        <v>0</v>
      </c>
      <c r="K56" s="100">
        <f>'[1]додаток 3'!K57</f>
        <v>0</v>
      </c>
      <c r="L56" s="100">
        <f>'[1]додаток 3'!L57</f>
        <v>0</v>
      </c>
      <c r="M56" s="93">
        <f t="shared" si="4"/>
        <v>453.5</v>
      </c>
      <c r="N56" s="89"/>
    </row>
    <row r="57" spans="1:14" s="99" customFormat="1" ht="78.75">
      <c r="A57" s="91"/>
      <c r="B57" s="96" t="s">
        <v>510</v>
      </c>
      <c r="C57" s="93">
        <f>'[1]додаток 3'!C58</f>
        <v>3070</v>
      </c>
      <c r="D57" s="100">
        <f>'[1]додаток 3'!D58</f>
        <v>0</v>
      </c>
      <c r="E57" s="100">
        <f>'[1]додаток 3'!E58</f>
        <v>0</v>
      </c>
      <c r="F57" s="93">
        <f>'[1]додаток 3'!F58</f>
        <v>0</v>
      </c>
      <c r="G57" s="100">
        <f>'[1]додаток 3'!G58</f>
        <v>0</v>
      </c>
      <c r="H57" s="100">
        <f>'[1]додаток 3'!H58</f>
        <v>0</v>
      </c>
      <c r="I57" s="100">
        <f>'[1]додаток 3'!I58</f>
        <v>0</v>
      </c>
      <c r="J57" s="100">
        <f>'[1]додаток 3'!J58</f>
        <v>0</v>
      </c>
      <c r="K57" s="100">
        <f>'[1]додаток 3'!K58</f>
        <v>0</v>
      </c>
      <c r="L57" s="100">
        <f>'[1]додаток 3'!L58</f>
        <v>0</v>
      </c>
      <c r="M57" s="93">
        <f t="shared" si="4"/>
        <v>3070</v>
      </c>
      <c r="N57" s="89"/>
    </row>
    <row r="58" spans="1:14" s="99" customFormat="1" ht="31.5">
      <c r="A58" s="91"/>
      <c r="B58" s="96" t="s">
        <v>505</v>
      </c>
      <c r="C58" s="93">
        <f>'[1]додаток 3'!C59</f>
        <v>2000</v>
      </c>
      <c r="D58" s="100">
        <f>'[1]додаток 3'!D59</f>
        <v>0</v>
      </c>
      <c r="E58" s="100">
        <f>'[1]додаток 3'!E59</f>
        <v>0</v>
      </c>
      <c r="F58" s="93">
        <f>'[1]додаток 3'!F59</f>
        <v>0</v>
      </c>
      <c r="G58" s="100">
        <f>'[1]додаток 3'!G59</f>
        <v>0</v>
      </c>
      <c r="H58" s="100">
        <f>'[1]додаток 3'!H59</f>
        <v>0</v>
      </c>
      <c r="I58" s="100">
        <f>'[1]додаток 3'!I59</f>
        <v>0</v>
      </c>
      <c r="J58" s="100">
        <f>'[1]додаток 3'!J59</f>
        <v>0</v>
      </c>
      <c r="K58" s="100">
        <f>'[1]додаток 3'!K59</f>
        <v>0</v>
      </c>
      <c r="L58" s="100">
        <f>'[1]додаток 3'!L59</f>
        <v>0</v>
      </c>
      <c r="M58" s="93">
        <f t="shared" si="4"/>
        <v>2000</v>
      </c>
      <c r="N58" s="89"/>
    </row>
    <row r="59" spans="1:14" s="99" customFormat="1" ht="47.25">
      <c r="A59" s="91" t="s">
        <v>511</v>
      </c>
      <c r="B59" s="102" t="s">
        <v>512</v>
      </c>
      <c r="C59" s="93">
        <f>'[1]додаток 3'!C96</f>
        <v>2325394.8</v>
      </c>
      <c r="D59" s="100">
        <f>'[1]додаток 3'!D96</f>
        <v>526700</v>
      </c>
      <c r="E59" s="100">
        <f>'[1]додаток 3'!E96</f>
        <v>178000</v>
      </c>
      <c r="F59" s="93">
        <f>'[1]додаток 3'!F96</f>
        <v>0</v>
      </c>
      <c r="G59" s="100">
        <f>'[1]додаток 3'!G96</f>
        <v>0</v>
      </c>
      <c r="H59" s="100">
        <f>'[1]додаток 3'!H96</f>
        <v>0</v>
      </c>
      <c r="I59" s="100">
        <f>'[1]додаток 3'!I96</f>
        <v>0</v>
      </c>
      <c r="J59" s="100">
        <f>'[1]додаток 3'!J96</f>
        <v>0</v>
      </c>
      <c r="K59" s="100">
        <f>'[1]додаток 3'!K96</f>
        <v>0</v>
      </c>
      <c r="L59" s="100">
        <f>'[1]додаток 3'!L96</f>
        <v>0</v>
      </c>
      <c r="M59" s="93">
        <f t="shared" si="4"/>
        <v>2325394.8</v>
      </c>
      <c r="N59" s="89"/>
    </row>
    <row r="60" spans="1:14" s="99" customFormat="1" ht="34.5" customHeight="1">
      <c r="A60" s="91" t="s">
        <v>513</v>
      </c>
      <c r="B60" s="102" t="s">
        <v>514</v>
      </c>
      <c r="C60" s="93">
        <f>'[1]додаток 3'!C97</f>
        <v>49039.39</v>
      </c>
      <c r="D60" s="100">
        <f>'[1]додаток 3'!D97</f>
        <v>0</v>
      </c>
      <c r="E60" s="100">
        <f>'[1]додаток 3'!E97</f>
        <v>0</v>
      </c>
      <c r="F60" s="93">
        <f>'[1]додаток 3'!F97</f>
        <v>0</v>
      </c>
      <c r="G60" s="100">
        <f>'[1]додаток 3'!G97</f>
        <v>0</v>
      </c>
      <c r="H60" s="100">
        <f>'[1]додаток 3'!H97</f>
        <v>0</v>
      </c>
      <c r="I60" s="100">
        <f>'[1]додаток 3'!I97</f>
        <v>0</v>
      </c>
      <c r="J60" s="100">
        <f>'[1]додаток 3'!J97</f>
        <v>0</v>
      </c>
      <c r="K60" s="100">
        <f>'[1]додаток 3'!K97</f>
        <v>0</v>
      </c>
      <c r="L60" s="100">
        <f>'[1]додаток 3'!L97</f>
        <v>0</v>
      </c>
      <c r="M60" s="93">
        <f t="shared" si="4"/>
        <v>49039.39</v>
      </c>
      <c r="N60" s="89"/>
    </row>
    <row r="61" spans="1:14" s="99" customFormat="1" ht="15.75">
      <c r="A61" s="91" t="s">
        <v>515</v>
      </c>
      <c r="B61" s="103" t="s">
        <v>516</v>
      </c>
      <c r="C61" s="93">
        <f>'[1]додаток 3'!C98</f>
        <v>5384</v>
      </c>
      <c r="D61" s="93">
        <f>'[1]додаток 3'!D98</f>
        <v>0</v>
      </c>
      <c r="E61" s="93">
        <f>'[1]додаток 3'!E98</f>
        <v>0</v>
      </c>
      <c r="F61" s="93">
        <f>'[1]додаток 3'!F98</f>
        <v>0</v>
      </c>
      <c r="G61" s="93">
        <f>'[1]додаток 3'!G98</f>
        <v>0</v>
      </c>
      <c r="H61" s="93">
        <f>'[1]додаток 3'!H98</f>
        <v>0</v>
      </c>
      <c r="I61" s="93">
        <f>'[1]додаток 3'!I98</f>
        <v>0</v>
      </c>
      <c r="J61" s="93">
        <f>'[1]додаток 3'!J98</f>
        <v>0</v>
      </c>
      <c r="K61" s="93">
        <f>'[1]додаток 3'!K98</f>
        <v>0</v>
      </c>
      <c r="L61" s="93">
        <f>'[1]додаток 3'!L98</f>
        <v>0</v>
      </c>
      <c r="M61" s="93">
        <f t="shared" si="4"/>
        <v>5384</v>
      </c>
      <c r="N61" s="89"/>
    </row>
    <row r="62" spans="1:14" s="99" customFormat="1" ht="15.75">
      <c r="A62" s="86">
        <v>110000</v>
      </c>
      <c r="B62" s="87" t="s">
        <v>517</v>
      </c>
      <c r="C62" s="88">
        <f>C63+C64+C65+C66+C67+C68</f>
        <v>513781.37000000005</v>
      </c>
      <c r="D62" s="88">
        <f aca="true" t="shared" si="5" ref="D62:L62">D63+D64+D65+D66+D67+D68</f>
        <v>0</v>
      </c>
      <c r="E62" s="88">
        <f t="shared" si="5"/>
        <v>0</v>
      </c>
      <c r="F62" s="88">
        <f t="shared" si="5"/>
        <v>161674.91999999998</v>
      </c>
      <c r="G62" s="88">
        <f t="shared" si="5"/>
        <v>0</v>
      </c>
      <c r="H62" s="88">
        <f t="shared" si="5"/>
        <v>0</v>
      </c>
      <c r="I62" s="88">
        <f t="shared" si="5"/>
        <v>0</v>
      </c>
      <c r="J62" s="88">
        <f t="shared" si="5"/>
        <v>161674.91999999998</v>
      </c>
      <c r="K62" s="88">
        <f t="shared" si="5"/>
        <v>161674.91999999998</v>
      </c>
      <c r="L62" s="88">
        <f t="shared" si="5"/>
        <v>0</v>
      </c>
      <c r="M62" s="88">
        <f>C62+F62</f>
        <v>675456.29</v>
      </c>
      <c r="N62" s="89"/>
    </row>
    <row r="63" spans="1:14" s="99" customFormat="1" ht="15.75">
      <c r="A63" s="91" t="s">
        <v>518</v>
      </c>
      <c r="B63" s="96" t="s">
        <v>519</v>
      </c>
      <c r="C63" s="93">
        <f>'[1]додаток 3'!C104</f>
        <v>0</v>
      </c>
      <c r="D63" s="100">
        <f>'[1]додаток 3'!D104</f>
        <v>0</v>
      </c>
      <c r="E63" s="100">
        <f>'[1]додаток 3'!E104</f>
        <v>0</v>
      </c>
      <c r="F63" s="93">
        <f>'[1]додаток 3'!F104</f>
        <v>140000</v>
      </c>
      <c r="G63" s="100">
        <f>'[1]додаток 3'!G104</f>
        <v>0</v>
      </c>
      <c r="H63" s="100">
        <f>'[1]додаток 3'!H104</f>
        <v>0</v>
      </c>
      <c r="I63" s="100">
        <f>'[1]додаток 3'!I104</f>
        <v>0</v>
      </c>
      <c r="J63" s="100">
        <f>'[1]додаток 3'!J104</f>
        <v>140000</v>
      </c>
      <c r="K63" s="100">
        <f>'[1]додаток 3'!K104</f>
        <v>140000</v>
      </c>
      <c r="L63" s="100">
        <f>'[1]додаток 3'!L104</f>
        <v>0</v>
      </c>
      <c r="M63" s="93">
        <f t="shared" si="4"/>
        <v>140000</v>
      </c>
      <c r="N63" s="89"/>
    </row>
    <row r="64" spans="1:14" s="99" customFormat="1" ht="15.75">
      <c r="A64" s="91" t="s">
        <v>520</v>
      </c>
      <c r="B64" s="96" t="s">
        <v>521</v>
      </c>
      <c r="C64" s="93">
        <f>'[1]додаток 3'!C105+'[1]додаток 3'!C89</f>
        <v>209619.4</v>
      </c>
      <c r="D64" s="100">
        <f>'[1]додаток 3'!D105+'[1]додаток 3'!D89</f>
        <v>0</v>
      </c>
      <c r="E64" s="100">
        <f>'[1]додаток 3'!E105+'[1]додаток 3'!E89</f>
        <v>0</v>
      </c>
      <c r="F64" s="93">
        <f>'[1]додаток 3'!F105+'[1]додаток 3'!F89</f>
        <v>21674.92</v>
      </c>
      <c r="G64" s="100">
        <f>'[1]додаток 3'!G105+'[1]додаток 3'!G89</f>
        <v>0</v>
      </c>
      <c r="H64" s="100">
        <f>'[1]додаток 3'!H105+'[1]додаток 3'!H89</f>
        <v>0</v>
      </c>
      <c r="I64" s="100">
        <f>'[1]додаток 3'!I105+'[1]додаток 3'!I89</f>
        <v>0</v>
      </c>
      <c r="J64" s="100">
        <f>'[1]додаток 3'!J105+'[1]додаток 3'!J89</f>
        <v>21674.92</v>
      </c>
      <c r="K64" s="100">
        <f>'[1]додаток 3'!K105+'[1]додаток 3'!K89</f>
        <v>21674.92</v>
      </c>
      <c r="L64" s="100">
        <f>'[1]додаток 3'!L105+'[1]додаток 3'!L89</f>
        <v>0</v>
      </c>
      <c r="M64" s="93">
        <f t="shared" si="4"/>
        <v>231294.32</v>
      </c>
      <c r="N64" s="89"/>
    </row>
    <row r="65" spans="1:14" s="99" customFormat="1" ht="15.75">
      <c r="A65" s="91" t="s">
        <v>522</v>
      </c>
      <c r="B65" s="96" t="s">
        <v>523</v>
      </c>
      <c r="C65" s="93">
        <f>'[1]додаток 3'!C106</f>
        <v>212875.14</v>
      </c>
      <c r="D65" s="100">
        <f>'[1]додаток 3'!D106</f>
        <v>0</v>
      </c>
      <c r="E65" s="100">
        <f>'[1]додаток 3'!E106</f>
        <v>0</v>
      </c>
      <c r="F65" s="93">
        <f>'[1]додаток 3'!F106</f>
        <v>0</v>
      </c>
      <c r="G65" s="100">
        <f>'[1]додаток 3'!G106</f>
        <v>0</v>
      </c>
      <c r="H65" s="100">
        <f>'[1]додаток 3'!H106</f>
        <v>0</v>
      </c>
      <c r="I65" s="100">
        <f>'[1]додаток 3'!I106</f>
        <v>0</v>
      </c>
      <c r="J65" s="100">
        <f>'[1]додаток 3'!J106</f>
        <v>0</v>
      </c>
      <c r="K65" s="100">
        <f>'[1]додаток 3'!K106</f>
        <v>0</v>
      </c>
      <c r="L65" s="100">
        <f>'[1]додаток 3'!L106</f>
        <v>0</v>
      </c>
      <c r="M65" s="93">
        <f t="shared" si="4"/>
        <v>212875.14</v>
      </c>
      <c r="N65" s="89"/>
    </row>
    <row r="66" spans="1:14" s="99" customFormat="1" ht="15.75">
      <c r="A66" s="91" t="s">
        <v>524</v>
      </c>
      <c r="B66" s="96" t="s">
        <v>525</v>
      </c>
      <c r="C66" s="93">
        <f>'[1]додаток 3'!C107</f>
        <v>39627.21</v>
      </c>
      <c r="D66" s="100">
        <f>'[1]додаток 3'!D107</f>
        <v>0</v>
      </c>
      <c r="E66" s="100">
        <f>'[1]додаток 3'!E107</f>
        <v>0</v>
      </c>
      <c r="F66" s="93">
        <f>'[1]додаток 3'!F107</f>
        <v>0</v>
      </c>
      <c r="G66" s="100">
        <f>'[1]додаток 3'!G107</f>
        <v>0</v>
      </c>
      <c r="H66" s="100">
        <f>'[1]додаток 3'!H107</f>
        <v>0</v>
      </c>
      <c r="I66" s="100">
        <f>'[1]додаток 3'!I107</f>
        <v>0</v>
      </c>
      <c r="J66" s="100">
        <f>'[1]додаток 3'!J107</f>
        <v>0</v>
      </c>
      <c r="K66" s="100">
        <f>'[1]додаток 3'!K107</f>
        <v>0</v>
      </c>
      <c r="L66" s="100">
        <f>'[1]додаток 3'!L107</f>
        <v>0</v>
      </c>
      <c r="M66" s="93">
        <f t="shared" si="4"/>
        <v>39627.21</v>
      </c>
      <c r="N66" s="89"/>
    </row>
    <row r="67" spans="1:14" s="99" customFormat="1" ht="33.75" customHeight="1">
      <c r="A67" s="91" t="s">
        <v>526</v>
      </c>
      <c r="B67" s="96" t="s">
        <v>527</v>
      </c>
      <c r="C67" s="93">
        <f>'[1]додаток 3'!C108</f>
        <v>41243.48</v>
      </c>
      <c r="D67" s="100">
        <f>'[1]додаток 3'!D108</f>
        <v>0</v>
      </c>
      <c r="E67" s="100">
        <f>'[1]додаток 3'!E108</f>
        <v>0</v>
      </c>
      <c r="F67" s="93">
        <f>'[1]додаток 3'!F108</f>
        <v>0</v>
      </c>
      <c r="G67" s="100">
        <f>'[1]додаток 3'!G108</f>
        <v>0</v>
      </c>
      <c r="H67" s="100">
        <f>'[1]додаток 3'!H108</f>
        <v>0</v>
      </c>
      <c r="I67" s="100">
        <f>'[1]додаток 3'!I108</f>
        <v>0</v>
      </c>
      <c r="J67" s="100">
        <f>'[1]додаток 3'!J108</f>
        <v>0</v>
      </c>
      <c r="K67" s="100">
        <f>'[1]додаток 3'!K108</f>
        <v>0</v>
      </c>
      <c r="L67" s="100">
        <f>'[1]додаток 3'!L108</f>
        <v>0</v>
      </c>
      <c r="M67" s="93">
        <f t="shared" si="4"/>
        <v>41243.48</v>
      </c>
      <c r="N67" s="89"/>
    </row>
    <row r="68" spans="1:14" s="99" customFormat="1" ht="31.5">
      <c r="A68" s="91" t="s">
        <v>528</v>
      </c>
      <c r="B68" s="104" t="s">
        <v>529</v>
      </c>
      <c r="C68" s="93">
        <f>'[1]додаток 3'!C109</f>
        <v>10416.14</v>
      </c>
      <c r="D68" s="93">
        <f>'[1]додаток 3'!D109</f>
        <v>0</v>
      </c>
      <c r="E68" s="93">
        <f>'[1]додаток 3'!E109</f>
        <v>0</v>
      </c>
      <c r="F68" s="93">
        <f>'[1]додаток 3'!F109</f>
        <v>0</v>
      </c>
      <c r="G68" s="93">
        <f>'[1]додаток 3'!G109</f>
        <v>0</v>
      </c>
      <c r="H68" s="93">
        <f>'[1]додаток 3'!H109</f>
        <v>0</v>
      </c>
      <c r="I68" s="93">
        <f>'[1]додаток 3'!I109</f>
        <v>0</v>
      </c>
      <c r="J68" s="93">
        <f>'[1]додаток 3'!J109</f>
        <v>0</v>
      </c>
      <c r="K68" s="93">
        <f>'[1]додаток 3'!K109</f>
        <v>0</v>
      </c>
      <c r="L68" s="93">
        <f>'[1]додаток 3'!L109</f>
        <v>0</v>
      </c>
      <c r="M68" s="93">
        <f t="shared" si="4"/>
        <v>10416.14</v>
      </c>
      <c r="N68" s="89"/>
    </row>
    <row r="69" spans="1:14" s="99" customFormat="1" ht="15.75">
      <c r="A69" s="86" t="s">
        <v>530</v>
      </c>
      <c r="B69" s="87" t="s">
        <v>531</v>
      </c>
      <c r="C69" s="88">
        <f>C70</f>
        <v>67000</v>
      </c>
      <c r="D69" s="88">
        <f aca="true" t="shared" si="6" ref="D69:L69">D70</f>
        <v>0</v>
      </c>
      <c r="E69" s="88">
        <f t="shared" si="6"/>
        <v>0</v>
      </c>
      <c r="F69" s="88">
        <f t="shared" si="6"/>
        <v>0</v>
      </c>
      <c r="G69" s="88">
        <f t="shared" si="6"/>
        <v>0</v>
      </c>
      <c r="H69" s="88">
        <f t="shared" si="6"/>
        <v>0</v>
      </c>
      <c r="I69" s="88">
        <f t="shared" si="6"/>
        <v>0</v>
      </c>
      <c r="J69" s="88">
        <f t="shared" si="6"/>
        <v>0</v>
      </c>
      <c r="K69" s="88">
        <f t="shared" si="6"/>
        <v>0</v>
      </c>
      <c r="L69" s="88">
        <f t="shared" si="6"/>
        <v>0</v>
      </c>
      <c r="M69" s="88">
        <f>C69+F69</f>
        <v>67000</v>
      </c>
      <c r="N69" s="89"/>
    </row>
    <row r="70" spans="1:15" s="99" customFormat="1" ht="15.75">
      <c r="A70" s="105" t="s">
        <v>532</v>
      </c>
      <c r="B70" s="106" t="s">
        <v>533</v>
      </c>
      <c r="C70" s="93">
        <f>'[1]додаток 3'!C22</f>
        <v>67000</v>
      </c>
      <c r="D70" s="93"/>
      <c r="E70" s="93"/>
      <c r="F70" s="93"/>
      <c r="G70" s="93"/>
      <c r="H70" s="93"/>
      <c r="I70" s="93"/>
      <c r="J70" s="93"/>
      <c r="K70" s="93"/>
      <c r="L70" s="93"/>
      <c r="M70" s="93">
        <f>C70+F70</f>
        <v>67000</v>
      </c>
      <c r="N70" s="72"/>
      <c r="O70" s="107"/>
    </row>
    <row r="71" spans="1:15" s="99" customFormat="1" ht="95.25" customHeight="1">
      <c r="A71" s="105" t="s">
        <v>380</v>
      </c>
      <c r="B71" s="106" t="s">
        <v>534</v>
      </c>
      <c r="C71" s="93">
        <f>'[1]додаток 3'!C23</f>
        <v>67000</v>
      </c>
      <c r="D71" s="93">
        <f>'[1]додаток 3'!D23</f>
        <v>0</v>
      </c>
      <c r="E71" s="93">
        <f>'[1]додаток 3'!E23</f>
        <v>0</v>
      </c>
      <c r="F71" s="93">
        <f>'[1]додаток 3'!F23</f>
        <v>0</v>
      </c>
      <c r="G71" s="93">
        <f>'[1]додаток 3'!G23</f>
        <v>0</v>
      </c>
      <c r="H71" s="93">
        <f>'[1]додаток 3'!H23</f>
        <v>0</v>
      </c>
      <c r="I71" s="93">
        <f>'[1]додаток 3'!I23</f>
        <v>0</v>
      </c>
      <c r="J71" s="93">
        <f>'[1]додаток 3'!J23</f>
        <v>0</v>
      </c>
      <c r="K71" s="93">
        <f>'[1]додаток 3'!K23</f>
        <v>0</v>
      </c>
      <c r="L71" s="93">
        <f>'[1]додаток 3'!L23</f>
        <v>0</v>
      </c>
      <c r="M71" s="93">
        <f>C71+F71</f>
        <v>67000</v>
      </c>
      <c r="N71" s="72"/>
      <c r="O71" s="107"/>
    </row>
    <row r="72" spans="1:15" s="99" customFormat="1" ht="15.75">
      <c r="A72" s="86">
        <v>130000</v>
      </c>
      <c r="B72" s="87" t="s">
        <v>535</v>
      </c>
      <c r="C72" s="88">
        <f>C73+C74+C75+C76+C77+C78</f>
        <v>309233.31999999995</v>
      </c>
      <c r="D72" s="88">
        <f aca="true" t="shared" si="7" ref="D72:L72">D73+D74+D75+D76+D77+D78</f>
        <v>0</v>
      </c>
      <c r="E72" s="88">
        <f t="shared" si="7"/>
        <v>0</v>
      </c>
      <c r="F72" s="88">
        <f t="shared" si="7"/>
        <v>145224</v>
      </c>
      <c r="G72" s="88">
        <f t="shared" si="7"/>
        <v>0</v>
      </c>
      <c r="H72" s="88">
        <f t="shared" si="7"/>
        <v>0</v>
      </c>
      <c r="I72" s="88">
        <f t="shared" si="7"/>
        <v>0</v>
      </c>
      <c r="J72" s="88">
        <f t="shared" si="7"/>
        <v>145224</v>
      </c>
      <c r="K72" s="88">
        <f t="shared" si="7"/>
        <v>145224</v>
      </c>
      <c r="L72" s="88">
        <f t="shared" si="7"/>
        <v>0</v>
      </c>
      <c r="M72" s="88">
        <f>C72+F72</f>
        <v>454457.31999999995</v>
      </c>
      <c r="N72" s="105"/>
      <c r="O72" s="106"/>
    </row>
    <row r="73" spans="1:14" s="99" customFormat="1" ht="31.5">
      <c r="A73" s="91" t="s">
        <v>536</v>
      </c>
      <c r="B73" s="96" t="s">
        <v>537</v>
      </c>
      <c r="C73" s="93">
        <f>'[1]додаток 3'!C47</f>
        <v>1000</v>
      </c>
      <c r="D73" s="93">
        <f>'[1]додаток 3'!D47</f>
        <v>0</v>
      </c>
      <c r="E73" s="93">
        <f>'[1]додаток 3'!E47</f>
        <v>0</v>
      </c>
      <c r="F73" s="93">
        <f>'[1]додаток 3'!F47</f>
        <v>0</v>
      </c>
      <c r="G73" s="93">
        <f>'[1]додаток 3'!G47</f>
        <v>0</v>
      </c>
      <c r="H73" s="93">
        <f>'[1]додаток 3'!H47</f>
        <v>0</v>
      </c>
      <c r="I73" s="93">
        <f>'[1]додаток 3'!I47</f>
        <v>0</v>
      </c>
      <c r="J73" s="93">
        <f>'[1]додаток 3'!J47</f>
        <v>0</v>
      </c>
      <c r="K73" s="93">
        <f>'[1]додаток 3'!K47</f>
        <v>0</v>
      </c>
      <c r="L73" s="93">
        <f>'[1]додаток 3'!L47</f>
        <v>0</v>
      </c>
      <c r="M73" s="93">
        <f aca="true" t="shared" si="8" ref="M73:M78">C73+F73</f>
        <v>1000</v>
      </c>
      <c r="N73" s="89"/>
    </row>
    <row r="74" spans="1:14" s="99" customFormat="1" ht="47.25">
      <c r="A74" s="91" t="s">
        <v>538</v>
      </c>
      <c r="B74" s="96" t="s">
        <v>539</v>
      </c>
      <c r="C74" s="93">
        <f>'[1]додаток 3'!C62</f>
        <v>33911.41</v>
      </c>
      <c r="D74" s="93">
        <f>'[1]додаток 3'!D62</f>
        <v>0</v>
      </c>
      <c r="E74" s="93">
        <f>'[1]додаток 3'!E62</f>
        <v>0</v>
      </c>
      <c r="F74" s="93">
        <f>'[1]додаток 3'!F62</f>
        <v>137724</v>
      </c>
      <c r="G74" s="93">
        <f>'[1]додаток 3'!G62</f>
        <v>0</v>
      </c>
      <c r="H74" s="93">
        <f>'[1]додаток 3'!H62</f>
        <v>0</v>
      </c>
      <c r="I74" s="93">
        <f>'[1]додаток 3'!I62</f>
        <v>0</v>
      </c>
      <c r="J74" s="93">
        <f>'[1]додаток 3'!J62</f>
        <v>137724</v>
      </c>
      <c r="K74" s="93">
        <f>'[1]додаток 3'!K62</f>
        <v>137724</v>
      </c>
      <c r="L74" s="93">
        <f>'[1]додаток 3'!L62</f>
        <v>0</v>
      </c>
      <c r="M74" s="93">
        <f t="shared" si="8"/>
        <v>171635.41</v>
      </c>
      <c r="N74" s="89"/>
    </row>
    <row r="75" spans="1:14" s="99" customFormat="1" ht="47.25">
      <c r="A75" s="91" t="s">
        <v>540</v>
      </c>
      <c r="B75" s="96" t="s">
        <v>541</v>
      </c>
      <c r="C75" s="93">
        <f>'[1]додаток 3'!C63</f>
        <v>180180.4</v>
      </c>
      <c r="D75" s="93">
        <f>'[1]додаток 3'!D63</f>
        <v>0</v>
      </c>
      <c r="E75" s="93">
        <f>'[1]додаток 3'!E63</f>
        <v>0</v>
      </c>
      <c r="F75" s="93">
        <f>'[1]додаток 3'!F63</f>
        <v>0</v>
      </c>
      <c r="G75" s="93">
        <f>'[1]додаток 3'!G63</f>
        <v>0</v>
      </c>
      <c r="H75" s="93">
        <f>'[1]додаток 3'!H63</f>
        <v>0</v>
      </c>
      <c r="I75" s="93">
        <f>'[1]додаток 3'!I63</f>
        <v>0</v>
      </c>
      <c r="J75" s="93">
        <f>'[1]додаток 3'!J63</f>
        <v>0</v>
      </c>
      <c r="K75" s="93">
        <f>'[1]додаток 3'!K63</f>
        <v>0</v>
      </c>
      <c r="L75" s="93">
        <f>'[1]додаток 3'!L63</f>
        <v>0</v>
      </c>
      <c r="M75" s="93">
        <f t="shared" si="8"/>
        <v>180180.4</v>
      </c>
      <c r="N75" s="89"/>
    </row>
    <row r="76" spans="1:14" s="99" customFormat="1" ht="47.25">
      <c r="A76" s="91" t="s">
        <v>542</v>
      </c>
      <c r="B76" s="92" t="s">
        <v>543</v>
      </c>
      <c r="C76" s="93">
        <f>'[1]додаток 3'!C48</f>
        <v>11386.9</v>
      </c>
      <c r="D76" s="93">
        <f>'[1]додаток 3'!D48</f>
        <v>0</v>
      </c>
      <c r="E76" s="93">
        <f>'[1]додаток 3'!E48</f>
        <v>0</v>
      </c>
      <c r="F76" s="93">
        <f>'[1]додаток 3'!F48</f>
        <v>7500</v>
      </c>
      <c r="G76" s="93">
        <f>'[1]додаток 3'!G48</f>
        <v>0</v>
      </c>
      <c r="H76" s="93">
        <f>'[1]додаток 3'!H48</f>
        <v>0</v>
      </c>
      <c r="I76" s="93">
        <f>'[1]додаток 3'!I48</f>
        <v>0</v>
      </c>
      <c r="J76" s="93">
        <f>'[1]додаток 3'!J48</f>
        <v>7500</v>
      </c>
      <c r="K76" s="93">
        <f>'[1]додаток 3'!K48</f>
        <v>7500</v>
      </c>
      <c r="L76" s="93">
        <f>'[1]додаток 3'!L48</f>
        <v>0</v>
      </c>
      <c r="M76" s="93">
        <f t="shared" si="8"/>
        <v>18886.9</v>
      </c>
      <c r="N76" s="89"/>
    </row>
    <row r="77" spans="1:14" s="99" customFormat="1" ht="63">
      <c r="A77" s="91" t="s">
        <v>544</v>
      </c>
      <c r="B77" s="104" t="s">
        <v>545</v>
      </c>
      <c r="C77" s="93">
        <f>'[1]додаток 3'!C64</f>
        <v>8411.58</v>
      </c>
      <c r="D77" s="93">
        <f>'[1]додаток 3'!D64</f>
        <v>0</v>
      </c>
      <c r="E77" s="93">
        <f>'[1]додаток 3'!E64</f>
        <v>0</v>
      </c>
      <c r="F77" s="93">
        <f>'[1]додаток 3'!F64</f>
        <v>0</v>
      </c>
      <c r="G77" s="93">
        <f>'[1]додаток 3'!G64</f>
        <v>0</v>
      </c>
      <c r="H77" s="93">
        <f>'[1]додаток 3'!H64</f>
        <v>0</v>
      </c>
      <c r="I77" s="93">
        <f>'[1]додаток 3'!I64</f>
        <v>0</v>
      </c>
      <c r="J77" s="93">
        <f>'[1]додаток 3'!J64</f>
        <v>0</v>
      </c>
      <c r="K77" s="93">
        <f>'[1]додаток 3'!K64</f>
        <v>0</v>
      </c>
      <c r="L77" s="93">
        <f>'[1]додаток 3'!L64</f>
        <v>0</v>
      </c>
      <c r="M77" s="93">
        <f t="shared" si="8"/>
        <v>8411.58</v>
      </c>
      <c r="N77" s="89"/>
    </row>
    <row r="78" spans="1:14" s="99" customFormat="1" ht="31.5">
      <c r="A78" s="91" t="s">
        <v>546</v>
      </c>
      <c r="B78" s="104" t="s">
        <v>547</v>
      </c>
      <c r="C78" s="93">
        <f>'[1]додаток 3'!C65</f>
        <v>74343.03</v>
      </c>
      <c r="D78" s="93">
        <f>'[1]додаток 3'!D65</f>
        <v>0</v>
      </c>
      <c r="E78" s="93">
        <f>'[1]додаток 3'!E65</f>
        <v>0</v>
      </c>
      <c r="F78" s="93">
        <f>'[1]додаток 3'!F65</f>
        <v>0</v>
      </c>
      <c r="G78" s="93">
        <f>'[1]додаток 3'!G65</f>
        <v>0</v>
      </c>
      <c r="H78" s="93">
        <f>'[1]додаток 3'!H65</f>
        <v>0</v>
      </c>
      <c r="I78" s="93">
        <f>'[1]додаток 3'!I65</f>
        <v>0</v>
      </c>
      <c r="J78" s="93">
        <f>'[1]додаток 3'!J65</f>
        <v>0</v>
      </c>
      <c r="K78" s="93">
        <f>'[1]додаток 3'!K65</f>
        <v>0</v>
      </c>
      <c r="L78" s="93">
        <f>'[1]додаток 3'!L65</f>
        <v>0</v>
      </c>
      <c r="M78" s="93">
        <f t="shared" si="8"/>
        <v>74343.03</v>
      </c>
      <c r="N78" s="89"/>
    </row>
    <row r="79" spans="1:14" s="99" customFormat="1" ht="15.75">
      <c r="A79" s="86">
        <v>150000</v>
      </c>
      <c r="B79" s="87" t="s">
        <v>548</v>
      </c>
      <c r="C79" s="88">
        <f>C80</f>
        <v>0</v>
      </c>
      <c r="D79" s="88">
        <f aca="true" t="shared" si="9" ref="D79:L79">D80</f>
        <v>0</v>
      </c>
      <c r="E79" s="88">
        <f t="shared" si="9"/>
        <v>0</v>
      </c>
      <c r="F79" s="88">
        <f t="shared" si="9"/>
        <v>14126080.280000001</v>
      </c>
      <c r="G79" s="88">
        <f t="shared" si="9"/>
        <v>0</v>
      </c>
      <c r="H79" s="88">
        <f t="shared" si="9"/>
        <v>0</v>
      </c>
      <c r="I79" s="88">
        <f t="shared" si="9"/>
        <v>0</v>
      </c>
      <c r="J79" s="88">
        <f t="shared" si="9"/>
        <v>14126080.280000001</v>
      </c>
      <c r="K79" s="88">
        <f t="shared" si="9"/>
        <v>14126080.280000001</v>
      </c>
      <c r="L79" s="88">
        <f t="shared" si="9"/>
        <v>3000000</v>
      </c>
      <c r="M79" s="88">
        <f>F79+C79</f>
        <v>14126080.280000001</v>
      </c>
      <c r="N79" s="89"/>
    </row>
    <row r="80" spans="1:14" ht="15.75">
      <c r="A80" s="91" t="s">
        <v>549</v>
      </c>
      <c r="B80" s="96" t="s">
        <v>550</v>
      </c>
      <c r="C80" s="93">
        <f>'[1]додаток 3'!C115</f>
        <v>0</v>
      </c>
      <c r="D80" s="93">
        <f>'[1]додаток 3'!D115</f>
        <v>0</v>
      </c>
      <c r="E80" s="93">
        <f>'[1]додаток 3'!E115</f>
        <v>0</v>
      </c>
      <c r="F80" s="93">
        <f>'[1]додаток 3'!F115</f>
        <v>14126080.280000001</v>
      </c>
      <c r="G80" s="93">
        <f>'[1]додаток 3'!G115</f>
        <v>0</v>
      </c>
      <c r="H80" s="93">
        <f>'[1]додаток 3'!H115</f>
        <v>0</v>
      </c>
      <c r="I80" s="93">
        <f>'[1]додаток 3'!I115</f>
        <v>0</v>
      </c>
      <c r="J80" s="100">
        <f>'[1]додаток 3'!J115</f>
        <v>14126080.280000001</v>
      </c>
      <c r="K80" s="100">
        <f>'[1]додаток 3'!K115</f>
        <v>14126080.280000001</v>
      </c>
      <c r="L80" s="100">
        <f>'[1]додаток 3'!L115</f>
        <v>3000000</v>
      </c>
      <c r="M80" s="93">
        <f>F80+C80</f>
        <v>14126080.280000001</v>
      </c>
      <c r="N80" s="89"/>
    </row>
    <row r="81" spans="1:14" ht="96.75" customHeight="1">
      <c r="A81" s="91"/>
      <c r="B81" s="96" t="s">
        <v>551</v>
      </c>
      <c r="C81" s="93">
        <f>'[1]додаток 3'!C116</f>
        <v>0</v>
      </c>
      <c r="D81" s="93">
        <f>'[1]додаток 3'!D116</f>
        <v>0</v>
      </c>
      <c r="E81" s="93">
        <f>'[1]додаток 3'!E116</f>
        <v>0</v>
      </c>
      <c r="F81" s="93">
        <f>'[1]додаток 3'!F116</f>
        <v>3000000</v>
      </c>
      <c r="G81" s="93">
        <f>'[1]додаток 3'!G116</f>
        <v>0</v>
      </c>
      <c r="H81" s="93">
        <f>'[1]додаток 3'!H116</f>
        <v>0</v>
      </c>
      <c r="I81" s="93">
        <f>'[1]додаток 3'!I116</f>
        <v>0</v>
      </c>
      <c r="J81" s="100">
        <f>'[1]додаток 3'!J116</f>
        <v>3000000</v>
      </c>
      <c r="K81" s="100">
        <f>'[1]додаток 3'!K116</f>
        <v>3000000</v>
      </c>
      <c r="L81" s="100">
        <f>'[1]додаток 3'!L116</f>
        <v>3000000</v>
      </c>
      <c r="M81" s="93">
        <f>F81+C81</f>
        <v>3000000</v>
      </c>
      <c r="N81" s="89"/>
    </row>
    <row r="82" spans="1:14" ht="93" customHeight="1">
      <c r="A82" s="91"/>
      <c r="B82" s="96" t="s">
        <v>552</v>
      </c>
      <c r="C82" s="93">
        <f>'[1]додаток 3'!C117</f>
        <v>0</v>
      </c>
      <c r="D82" s="93">
        <f>'[1]додаток 3'!D117</f>
        <v>0</v>
      </c>
      <c r="E82" s="93">
        <f>'[1]додаток 3'!E117</f>
        <v>0</v>
      </c>
      <c r="F82" s="93">
        <f>'[1]додаток 3'!F117</f>
        <v>676064.6</v>
      </c>
      <c r="G82" s="93">
        <f>'[1]додаток 3'!G117</f>
        <v>0</v>
      </c>
      <c r="H82" s="93">
        <f>'[1]додаток 3'!H117</f>
        <v>0</v>
      </c>
      <c r="I82" s="93">
        <f>'[1]додаток 3'!I117</f>
        <v>0</v>
      </c>
      <c r="J82" s="100">
        <f>'[1]додаток 3'!J117</f>
        <v>676064.6</v>
      </c>
      <c r="K82" s="100">
        <f>'[1]додаток 3'!K117</f>
        <v>676064.6</v>
      </c>
      <c r="L82" s="100">
        <f>'[1]додаток 3'!L117</f>
        <v>0</v>
      </c>
      <c r="M82" s="93">
        <f>F82+C82</f>
        <v>676064.6</v>
      </c>
      <c r="N82" s="89"/>
    </row>
    <row r="83" spans="1:14" ht="38.25" customHeight="1">
      <c r="A83" s="91"/>
      <c r="B83" s="96" t="s">
        <v>553</v>
      </c>
      <c r="C83" s="93">
        <f>'[1]додаток 3'!C118</f>
        <v>0</v>
      </c>
      <c r="D83" s="93">
        <f>'[1]додаток 3'!D118</f>
        <v>0</v>
      </c>
      <c r="E83" s="93">
        <f>'[1]додаток 3'!E118</f>
        <v>0</v>
      </c>
      <c r="F83" s="93">
        <f>'[1]додаток 3'!F118</f>
        <v>200000</v>
      </c>
      <c r="G83" s="93">
        <f>'[1]додаток 3'!G118</f>
        <v>0</v>
      </c>
      <c r="H83" s="93">
        <f>'[1]додаток 3'!H118</f>
        <v>0</v>
      </c>
      <c r="I83" s="93">
        <f>'[1]додаток 3'!I118</f>
        <v>0</v>
      </c>
      <c r="J83" s="100">
        <f>'[1]додаток 3'!J118</f>
        <v>200000</v>
      </c>
      <c r="K83" s="100">
        <f>'[1]додаток 3'!K118</f>
        <v>200000</v>
      </c>
      <c r="L83" s="93">
        <f>'[1]додаток 3'!L118</f>
        <v>0</v>
      </c>
      <c r="M83" s="93">
        <f>F83+C83</f>
        <v>200000</v>
      </c>
      <c r="N83" s="89"/>
    </row>
    <row r="84" spans="1:14" s="99" customFormat="1" ht="50.25" customHeight="1">
      <c r="A84" s="86">
        <v>170000</v>
      </c>
      <c r="B84" s="87" t="s">
        <v>554</v>
      </c>
      <c r="C84" s="88">
        <f>C85</f>
        <v>0</v>
      </c>
      <c r="D84" s="88">
        <f aca="true" t="shared" si="10" ref="D84:M84">D85</f>
        <v>0</v>
      </c>
      <c r="E84" s="88">
        <f t="shared" si="10"/>
        <v>0</v>
      </c>
      <c r="F84" s="88">
        <f>F85</f>
        <v>35253545.28</v>
      </c>
      <c r="G84" s="88">
        <f t="shared" si="10"/>
        <v>23072841.259999998</v>
      </c>
      <c r="H84" s="88">
        <f t="shared" si="10"/>
        <v>0</v>
      </c>
      <c r="I84" s="88">
        <f t="shared" si="10"/>
        <v>0</v>
      </c>
      <c r="J84" s="88">
        <f t="shared" si="10"/>
        <v>12180704.02</v>
      </c>
      <c r="K84" s="88">
        <f t="shared" si="10"/>
        <v>0</v>
      </c>
      <c r="L84" s="88">
        <f t="shared" si="10"/>
        <v>0</v>
      </c>
      <c r="M84" s="88">
        <f t="shared" si="10"/>
        <v>35253545.28</v>
      </c>
      <c r="N84" s="89"/>
    </row>
    <row r="85" spans="1:14" ht="63">
      <c r="A85" s="108">
        <v>170703</v>
      </c>
      <c r="B85" s="109" t="s">
        <v>555</v>
      </c>
      <c r="C85" s="93">
        <f>'[1]додаток 3'!C120</f>
        <v>0</v>
      </c>
      <c r="D85" s="93">
        <f>'[1]додаток 3'!D120</f>
        <v>0</v>
      </c>
      <c r="E85" s="93">
        <f>'[1]додаток 3'!E120</f>
        <v>0</v>
      </c>
      <c r="F85" s="93">
        <f>'[1]додаток 3'!F120</f>
        <v>35253545.28</v>
      </c>
      <c r="G85" s="100">
        <f>'[1]додаток 3'!G120</f>
        <v>23072841.259999998</v>
      </c>
      <c r="H85" s="100">
        <f>'[1]додаток 3'!H120</f>
        <v>0</v>
      </c>
      <c r="I85" s="100">
        <f>'[1]додаток 3'!I120</f>
        <v>0</v>
      </c>
      <c r="J85" s="100">
        <f>'[1]додаток 3'!J120</f>
        <v>12180704.02</v>
      </c>
      <c r="K85" s="93">
        <f>'[1]додаток 3'!K120</f>
        <v>0</v>
      </c>
      <c r="L85" s="93">
        <f>'[1]додаток 3'!L120</f>
        <v>0</v>
      </c>
      <c r="M85" s="93">
        <f aca="true" t="shared" si="11" ref="M85:M111">F85+C85</f>
        <v>35253545.28</v>
      </c>
      <c r="N85" s="89"/>
    </row>
    <row r="86" spans="1:14" ht="96.75" customHeight="1">
      <c r="A86" s="108"/>
      <c r="B86" s="96" t="s">
        <v>556</v>
      </c>
      <c r="C86" s="93">
        <f>'[1]додаток 3'!C121</f>
        <v>0</v>
      </c>
      <c r="D86" s="93">
        <f>'[1]додаток 3'!D121</f>
        <v>0</v>
      </c>
      <c r="E86" s="93">
        <f>'[1]додаток 3'!E121</f>
        <v>0</v>
      </c>
      <c r="F86" s="93">
        <f>'[1]додаток 3'!F121</f>
        <v>10416687.58</v>
      </c>
      <c r="G86" s="100">
        <f>'[1]додаток 3'!G121</f>
        <v>1395386</v>
      </c>
      <c r="H86" s="100">
        <f>'[1]додаток 3'!H121</f>
        <v>0</v>
      </c>
      <c r="I86" s="100">
        <f>'[1]додаток 3'!I121</f>
        <v>0</v>
      </c>
      <c r="J86" s="100">
        <f>'[1]додаток 3'!J121</f>
        <v>9021301.58</v>
      </c>
      <c r="K86" s="93">
        <f>'[1]додаток 3'!K121</f>
        <v>0</v>
      </c>
      <c r="L86" s="93">
        <f>'[1]додаток 3'!L121</f>
        <v>0</v>
      </c>
      <c r="M86" s="93">
        <f t="shared" si="11"/>
        <v>10416687.58</v>
      </c>
      <c r="N86" s="89"/>
    </row>
    <row r="87" spans="1:14" ht="18.75" customHeight="1">
      <c r="A87" s="91" t="s">
        <v>380</v>
      </c>
      <c r="B87" s="96" t="s">
        <v>408</v>
      </c>
      <c r="C87" s="93"/>
      <c r="D87" s="93"/>
      <c r="E87" s="93"/>
      <c r="F87" s="93">
        <f>'[1]додаток 3'!F122</f>
        <v>1548720</v>
      </c>
      <c r="G87" s="110">
        <f>'[1]додаток 3'!G122</f>
        <v>77820</v>
      </c>
      <c r="H87" s="100"/>
      <c r="I87" s="100"/>
      <c r="J87" s="100">
        <f>'[1]додаток 3'!J122</f>
        <v>1470900</v>
      </c>
      <c r="K87" s="93"/>
      <c r="L87" s="93"/>
      <c r="M87" s="93">
        <f t="shared" si="11"/>
        <v>1548720</v>
      </c>
      <c r="N87" s="89"/>
    </row>
    <row r="88" spans="1:14" ht="15.75">
      <c r="A88" s="91"/>
      <c r="B88" s="58" t="s">
        <v>407</v>
      </c>
      <c r="C88" s="93">
        <f>'[1]додаток 3'!C123</f>
        <v>0</v>
      </c>
      <c r="D88" s="93">
        <f>'[1]додаток 3'!D123</f>
        <v>0</v>
      </c>
      <c r="E88" s="93">
        <f>'[1]додаток 3'!E123</f>
        <v>0</v>
      </c>
      <c r="F88" s="93">
        <f>'[1]додаток 3'!F123</f>
        <v>769286</v>
      </c>
      <c r="G88" s="100">
        <f>'[1]додаток 3'!G123</f>
        <v>282130</v>
      </c>
      <c r="H88" s="100">
        <f>'[1]додаток 3'!H123</f>
        <v>0</v>
      </c>
      <c r="I88" s="100">
        <f>'[1]додаток 3'!I123</f>
        <v>0</v>
      </c>
      <c r="J88" s="100">
        <f>'[1]додаток 3'!J123</f>
        <v>487156</v>
      </c>
      <c r="K88" s="93">
        <f>'[1]додаток 3'!K123</f>
        <v>0</v>
      </c>
      <c r="L88" s="93">
        <f>'[1]додаток 3'!L123</f>
        <v>0</v>
      </c>
      <c r="M88" s="93">
        <f t="shared" si="11"/>
        <v>769286</v>
      </c>
      <c r="N88" s="89"/>
    </row>
    <row r="89" spans="1:14" ht="36.75" customHeight="1">
      <c r="A89" s="86" t="s">
        <v>557</v>
      </c>
      <c r="B89" s="87" t="s">
        <v>558</v>
      </c>
      <c r="C89" s="88">
        <f>C90+C92</f>
        <v>48089.67</v>
      </c>
      <c r="D89" s="88">
        <f aca="true" t="shared" si="12" ref="D89:L89">D92</f>
        <v>0</v>
      </c>
      <c r="E89" s="88">
        <f t="shared" si="12"/>
        <v>0</v>
      </c>
      <c r="F89" s="88">
        <f t="shared" si="12"/>
        <v>0</v>
      </c>
      <c r="G89" s="88">
        <f t="shared" si="12"/>
        <v>0</v>
      </c>
      <c r="H89" s="88">
        <f t="shared" si="12"/>
        <v>0</v>
      </c>
      <c r="I89" s="88">
        <f t="shared" si="12"/>
        <v>0</v>
      </c>
      <c r="J89" s="88">
        <f t="shared" si="12"/>
        <v>0</v>
      </c>
      <c r="K89" s="88">
        <f t="shared" si="12"/>
        <v>0</v>
      </c>
      <c r="L89" s="88">
        <f t="shared" si="12"/>
        <v>0</v>
      </c>
      <c r="M89" s="88">
        <f t="shared" si="11"/>
        <v>48089.67</v>
      </c>
      <c r="N89" s="89"/>
    </row>
    <row r="90" spans="1:14" ht="36.75" customHeight="1">
      <c r="A90" s="91" t="s">
        <v>559</v>
      </c>
      <c r="B90" s="96" t="s">
        <v>560</v>
      </c>
      <c r="C90" s="93">
        <f>'[1]додаток 3'!C137</f>
        <v>17989.67</v>
      </c>
      <c r="D90" s="93"/>
      <c r="E90" s="93"/>
      <c r="F90" s="93"/>
      <c r="G90" s="93"/>
      <c r="H90" s="93"/>
      <c r="I90" s="93"/>
      <c r="J90" s="93"/>
      <c r="K90" s="93"/>
      <c r="L90" s="93"/>
      <c r="M90" s="93">
        <f t="shared" si="11"/>
        <v>17989.67</v>
      </c>
      <c r="N90" s="89"/>
    </row>
    <row r="91" spans="1:14" ht="63">
      <c r="A91" s="91" t="s">
        <v>380</v>
      </c>
      <c r="B91" s="96" t="s">
        <v>561</v>
      </c>
      <c r="C91" s="93">
        <f>'[1]додаток 3'!C138</f>
        <v>17989.67</v>
      </c>
      <c r="D91" s="93"/>
      <c r="E91" s="93"/>
      <c r="F91" s="93"/>
      <c r="G91" s="93"/>
      <c r="H91" s="93"/>
      <c r="I91" s="93"/>
      <c r="J91" s="93"/>
      <c r="K91" s="93"/>
      <c r="L91" s="93"/>
      <c r="M91" s="93">
        <f t="shared" si="11"/>
        <v>17989.67</v>
      </c>
      <c r="N91" s="89"/>
    </row>
    <row r="92" spans="1:14" ht="31.5">
      <c r="A92" s="91" t="s">
        <v>562</v>
      </c>
      <c r="B92" s="95" t="s">
        <v>563</v>
      </c>
      <c r="C92" s="93">
        <f>C93+C94</f>
        <v>30100</v>
      </c>
      <c r="D92" s="93">
        <f>'[1]додаток 3'!D28</f>
        <v>0</v>
      </c>
      <c r="E92" s="93">
        <f>'[1]додаток 3'!E28</f>
        <v>0</v>
      </c>
      <c r="F92" s="93">
        <f>'[1]додаток 3'!F28</f>
        <v>0</v>
      </c>
      <c r="G92" s="93">
        <f>'[1]додаток 3'!G28</f>
        <v>0</v>
      </c>
      <c r="H92" s="93">
        <f>'[1]додаток 3'!H28</f>
        <v>0</v>
      </c>
      <c r="I92" s="93">
        <f>'[1]додаток 3'!I28</f>
        <v>0</v>
      </c>
      <c r="J92" s="93">
        <f>'[1]додаток 3'!J28</f>
        <v>0</v>
      </c>
      <c r="K92" s="93">
        <f>'[1]додаток 3'!K28</f>
        <v>0</v>
      </c>
      <c r="L92" s="93">
        <f>'[1]додаток 3'!L28</f>
        <v>0</v>
      </c>
      <c r="M92" s="93">
        <f t="shared" si="11"/>
        <v>30100</v>
      </c>
      <c r="N92" s="89"/>
    </row>
    <row r="93" spans="1:14" ht="47.25">
      <c r="A93" s="91" t="s">
        <v>380</v>
      </c>
      <c r="B93" s="95" t="s">
        <v>564</v>
      </c>
      <c r="C93" s="93">
        <f>'[1]додаток 3'!C29</f>
        <v>23100</v>
      </c>
      <c r="D93" s="93">
        <f>'[1]додаток 3'!D29</f>
        <v>0</v>
      </c>
      <c r="E93" s="93">
        <f>'[1]додаток 3'!E29</f>
        <v>0</v>
      </c>
      <c r="F93" s="93">
        <f>'[1]додаток 3'!F29</f>
        <v>0</v>
      </c>
      <c r="G93" s="93">
        <f>'[1]додаток 3'!G29</f>
        <v>0</v>
      </c>
      <c r="H93" s="93">
        <f>'[1]додаток 3'!H29</f>
        <v>0</v>
      </c>
      <c r="I93" s="93">
        <f>'[1]додаток 3'!I29</f>
        <v>0</v>
      </c>
      <c r="J93" s="93">
        <f>'[1]додаток 3'!J29</f>
        <v>0</v>
      </c>
      <c r="K93" s="93">
        <f>'[1]додаток 3'!K29</f>
        <v>0</v>
      </c>
      <c r="L93" s="93">
        <f>'[1]додаток 3'!L29</f>
        <v>0</v>
      </c>
      <c r="M93" s="93">
        <f t="shared" si="11"/>
        <v>23100</v>
      </c>
      <c r="N93" s="89"/>
    </row>
    <row r="94" spans="1:14" ht="63">
      <c r="A94" s="91"/>
      <c r="B94" s="96" t="s">
        <v>565</v>
      </c>
      <c r="C94" s="93">
        <f>'[1]додаток 3'!C140</f>
        <v>7000</v>
      </c>
      <c r="D94" s="93"/>
      <c r="E94" s="93"/>
      <c r="F94" s="93"/>
      <c r="G94" s="93"/>
      <c r="H94" s="93"/>
      <c r="I94" s="93"/>
      <c r="J94" s="93"/>
      <c r="K94" s="93"/>
      <c r="L94" s="93"/>
      <c r="M94" s="93">
        <f t="shared" si="11"/>
        <v>7000</v>
      </c>
      <c r="N94" s="89"/>
    </row>
    <row r="95" spans="1:14" s="111" customFormat="1" ht="47.25">
      <c r="A95" s="86" t="s">
        <v>566</v>
      </c>
      <c r="B95" s="87" t="s">
        <v>567</v>
      </c>
      <c r="C95" s="88">
        <f>C96</f>
        <v>0</v>
      </c>
      <c r="D95" s="88">
        <f aca="true" t="shared" si="13" ref="D95:L95">D96</f>
        <v>0</v>
      </c>
      <c r="E95" s="88">
        <f t="shared" si="13"/>
        <v>0</v>
      </c>
      <c r="F95" s="88">
        <f t="shared" si="13"/>
        <v>547990.14</v>
      </c>
      <c r="G95" s="88">
        <f t="shared" si="13"/>
        <v>547990.14</v>
      </c>
      <c r="H95" s="88">
        <f t="shared" si="13"/>
        <v>0</v>
      </c>
      <c r="I95" s="88">
        <f t="shared" si="13"/>
        <v>0</v>
      </c>
      <c r="J95" s="88">
        <f t="shared" si="13"/>
        <v>0</v>
      </c>
      <c r="K95" s="88">
        <f t="shared" si="13"/>
        <v>0</v>
      </c>
      <c r="L95" s="88">
        <f t="shared" si="13"/>
        <v>0</v>
      </c>
      <c r="M95" s="88">
        <f t="shared" si="11"/>
        <v>547990.14</v>
      </c>
      <c r="N95" s="89"/>
    </row>
    <row r="96" spans="1:14" ht="31.5">
      <c r="A96" s="91" t="s">
        <v>568</v>
      </c>
      <c r="B96" s="109" t="s">
        <v>569</v>
      </c>
      <c r="C96" s="93">
        <f>'[1]додаток 3'!C130</f>
        <v>0</v>
      </c>
      <c r="D96" s="93">
        <f>'[1]додаток 3'!D130</f>
        <v>0</v>
      </c>
      <c r="E96" s="93">
        <f>'[1]додаток 3'!E130</f>
        <v>0</v>
      </c>
      <c r="F96" s="93">
        <f>'[1]додаток 3'!F130</f>
        <v>547990.14</v>
      </c>
      <c r="G96" s="100">
        <f>'[1]додаток 3'!G130</f>
        <v>547990.14</v>
      </c>
      <c r="H96" s="100">
        <f>'[1]додаток 3'!H130</f>
        <v>0</v>
      </c>
      <c r="I96" s="100">
        <f>'[1]додаток 3'!I130</f>
        <v>0</v>
      </c>
      <c r="J96" s="100">
        <f>'[1]додаток 3'!J130</f>
        <v>0</v>
      </c>
      <c r="K96" s="100">
        <f>'[1]додаток 3'!K130</f>
        <v>0</v>
      </c>
      <c r="L96" s="93">
        <f>'[1]додаток 3'!L130</f>
        <v>0</v>
      </c>
      <c r="M96" s="93">
        <f t="shared" si="11"/>
        <v>547990.14</v>
      </c>
      <c r="N96" s="89"/>
    </row>
    <row r="97" spans="1:14" s="111" customFormat="1" ht="47.25">
      <c r="A97" s="86">
        <v>210000</v>
      </c>
      <c r="B97" s="87" t="s">
        <v>570</v>
      </c>
      <c r="C97" s="88">
        <f>C98</f>
        <v>0</v>
      </c>
      <c r="D97" s="88">
        <f aca="true" t="shared" si="14" ref="D97:L97">D98</f>
        <v>0</v>
      </c>
      <c r="E97" s="88">
        <f t="shared" si="14"/>
        <v>0</v>
      </c>
      <c r="F97" s="88">
        <f t="shared" si="14"/>
        <v>82300</v>
      </c>
      <c r="G97" s="88">
        <f t="shared" si="14"/>
        <v>0</v>
      </c>
      <c r="H97" s="88">
        <f t="shared" si="14"/>
        <v>0</v>
      </c>
      <c r="I97" s="88">
        <f t="shared" si="14"/>
        <v>0</v>
      </c>
      <c r="J97" s="88">
        <f t="shared" si="14"/>
        <v>82300</v>
      </c>
      <c r="K97" s="88">
        <f t="shared" si="14"/>
        <v>82300</v>
      </c>
      <c r="L97" s="88">
        <f t="shared" si="14"/>
        <v>0</v>
      </c>
      <c r="M97" s="88">
        <f t="shared" si="11"/>
        <v>82300</v>
      </c>
      <c r="N97" s="89"/>
    </row>
    <row r="98" spans="1:14" ht="51" customHeight="1">
      <c r="A98" s="91" t="s">
        <v>571</v>
      </c>
      <c r="B98" s="95" t="s">
        <v>572</v>
      </c>
      <c r="C98" s="93">
        <f>'[1]додаток 3'!C91+'[1]додаток 3'!C133</f>
        <v>0</v>
      </c>
      <c r="D98" s="93">
        <f>'[1]додаток 3'!D91+'[1]додаток 3'!D133</f>
        <v>0</v>
      </c>
      <c r="E98" s="93">
        <f>'[1]додаток 3'!E91+'[1]додаток 3'!E133</f>
        <v>0</v>
      </c>
      <c r="F98" s="93">
        <f>'[1]додаток 3'!F91+'[1]додаток 3'!F133</f>
        <v>82300</v>
      </c>
      <c r="G98" s="93">
        <f>'[1]додаток 3'!G91+'[1]додаток 3'!G133</f>
        <v>0</v>
      </c>
      <c r="H98" s="93">
        <f>'[1]додаток 3'!H91+'[1]додаток 3'!H133</f>
        <v>0</v>
      </c>
      <c r="I98" s="93">
        <f>'[1]додаток 3'!I91+'[1]додаток 3'!I133</f>
        <v>0</v>
      </c>
      <c r="J98" s="100">
        <f>'[1]додаток 3'!J91+'[1]додаток 3'!J133</f>
        <v>82300</v>
      </c>
      <c r="K98" s="100">
        <f>'[1]додаток 3'!K91+'[1]додаток 3'!K133</f>
        <v>82300</v>
      </c>
      <c r="L98" s="93">
        <f>'[1]додаток 3'!L91+'[1]додаток 3'!L133</f>
        <v>0</v>
      </c>
      <c r="M98" s="93">
        <f t="shared" si="11"/>
        <v>82300</v>
      </c>
      <c r="N98" s="89"/>
    </row>
    <row r="99" spans="1:14" ht="110.25">
      <c r="A99" s="91" t="s">
        <v>380</v>
      </c>
      <c r="B99" s="112" t="s">
        <v>573</v>
      </c>
      <c r="C99" s="93">
        <f>'[1]додаток 3'!C134</f>
        <v>0</v>
      </c>
      <c r="D99" s="93">
        <f>'[1]додаток 3'!D134</f>
        <v>0</v>
      </c>
      <c r="E99" s="93">
        <f>'[1]додаток 3'!E134</f>
        <v>0</v>
      </c>
      <c r="F99" s="93">
        <f>'[1]додаток 3'!F134</f>
        <v>34000</v>
      </c>
      <c r="G99" s="93">
        <f>'[1]додаток 3'!G134</f>
        <v>0</v>
      </c>
      <c r="H99" s="93">
        <f>'[1]додаток 3'!H134</f>
        <v>0</v>
      </c>
      <c r="I99" s="93">
        <f>'[1]додаток 3'!I134</f>
        <v>0</v>
      </c>
      <c r="J99" s="100">
        <f>'[1]додаток 3'!J134</f>
        <v>34000</v>
      </c>
      <c r="K99" s="100">
        <f>'[1]додаток 3'!K134</f>
        <v>34000</v>
      </c>
      <c r="L99" s="93">
        <f>'[1]додаток 3'!L134</f>
        <v>0</v>
      </c>
      <c r="M99" s="93">
        <f t="shared" si="11"/>
        <v>34000</v>
      </c>
      <c r="N99" s="89"/>
    </row>
    <row r="100" spans="1:14" s="111" customFormat="1" ht="15.75">
      <c r="A100" s="86">
        <v>240000</v>
      </c>
      <c r="B100" s="87" t="s">
        <v>574</v>
      </c>
      <c r="C100" s="88">
        <f>C101+C102+C103+C104+C105</f>
        <v>0</v>
      </c>
      <c r="D100" s="88">
        <f aca="true" t="shared" si="15" ref="D100:L100">D101+D102+D103+D104+D105</f>
        <v>0</v>
      </c>
      <c r="E100" s="88">
        <f t="shared" si="15"/>
        <v>0</v>
      </c>
      <c r="F100" s="88">
        <f t="shared" si="15"/>
        <v>4451021.4399999995</v>
      </c>
      <c r="G100" s="88">
        <f t="shared" si="15"/>
        <v>286301.5</v>
      </c>
      <c r="H100" s="88">
        <f t="shared" si="15"/>
        <v>0</v>
      </c>
      <c r="I100" s="88">
        <f t="shared" si="15"/>
        <v>0</v>
      </c>
      <c r="J100" s="88">
        <f t="shared" si="15"/>
        <v>4164719.94</v>
      </c>
      <c r="K100" s="88">
        <f t="shared" si="15"/>
        <v>0</v>
      </c>
      <c r="L100" s="88">
        <f t="shared" si="15"/>
        <v>0</v>
      </c>
      <c r="M100" s="88">
        <f>F100+C100</f>
        <v>4451021.4399999995</v>
      </c>
      <c r="N100" s="89"/>
    </row>
    <row r="101" spans="1:14" ht="36" customHeight="1">
      <c r="A101" s="113">
        <v>240601</v>
      </c>
      <c r="B101" s="114" t="s">
        <v>575</v>
      </c>
      <c r="C101" s="93">
        <f>'[1]додаток 3'!C125</f>
        <v>0</v>
      </c>
      <c r="D101" s="93">
        <f>'[1]додаток 3'!D125</f>
        <v>0</v>
      </c>
      <c r="E101" s="93">
        <f>'[1]додаток 3'!E125</f>
        <v>0</v>
      </c>
      <c r="F101" s="93">
        <f>'[1]додаток 3'!F125</f>
        <v>2952209.94</v>
      </c>
      <c r="G101" s="100">
        <f>'[1]додаток 3'!G125</f>
        <v>0</v>
      </c>
      <c r="H101" s="100">
        <f>'[1]додаток 3'!H125</f>
        <v>0</v>
      </c>
      <c r="I101" s="100">
        <f>'[1]додаток 3'!I125</f>
        <v>0</v>
      </c>
      <c r="J101" s="100">
        <f>'[1]додаток 3'!J125</f>
        <v>2952209.94</v>
      </c>
      <c r="K101" s="100">
        <f>'[1]додаток 3'!K125</f>
        <v>0</v>
      </c>
      <c r="L101" s="100">
        <f>'[1]додаток 3'!L125</f>
        <v>0</v>
      </c>
      <c r="M101" s="93">
        <f t="shared" si="11"/>
        <v>2952209.94</v>
      </c>
      <c r="N101" s="89"/>
    </row>
    <row r="102" spans="1:14" ht="15.75">
      <c r="A102" s="108">
        <v>240602</v>
      </c>
      <c r="B102" s="114" t="s">
        <v>576</v>
      </c>
      <c r="C102" s="93">
        <f>'[1]додаток 3'!C126</f>
        <v>0</v>
      </c>
      <c r="D102" s="93">
        <f>'[1]додаток 3'!D126</f>
        <v>0</v>
      </c>
      <c r="E102" s="93">
        <f>'[1]додаток 3'!E126</f>
        <v>0</v>
      </c>
      <c r="F102" s="93">
        <f>'[1]додаток 3'!F126</f>
        <v>600000</v>
      </c>
      <c r="G102" s="100">
        <f>'[1]додаток 3'!G126</f>
        <v>0</v>
      </c>
      <c r="H102" s="100">
        <f>'[1]додаток 3'!H126</f>
        <v>0</v>
      </c>
      <c r="I102" s="100">
        <f>'[1]додаток 3'!I126</f>
        <v>0</v>
      </c>
      <c r="J102" s="100">
        <f>'[1]додаток 3'!J126</f>
        <v>600000</v>
      </c>
      <c r="K102" s="100">
        <f>'[1]додаток 3'!K126</f>
        <v>0</v>
      </c>
      <c r="L102" s="100">
        <f>'[1]додаток 3'!L126</f>
        <v>0</v>
      </c>
      <c r="M102" s="93">
        <f t="shared" si="11"/>
        <v>600000</v>
      </c>
      <c r="N102" s="89"/>
    </row>
    <row r="103" spans="1:14" ht="47.25">
      <c r="A103" s="91" t="s">
        <v>577</v>
      </c>
      <c r="B103" s="96" t="s">
        <v>578</v>
      </c>
      <c r="C103" s="93">
        <f>'[1]додаток 3'!C127</f>
        <v>0</v>
      </c>
      <c r="D103" s="93">
        <f>'[1]додаток 3'!D127</f>
        <v>0</v>
      </c>
      <c r="E103" s="93">
        <f>'[1]додаток 3'!E127</f>
        <v>0</v>
      </c>
      <c r="F103" s="93">
        <f>'[1]додаток 3'!F127</f>
        <v>612510</v>
      </c>
      <c r="G103" s="100">
        <f>'[1]додаток 3'!G127</f>
        <v>0</v>
      </c>
      <c r="H103" s="100">
        <f>'[1]додаток 3'!H127</f>
        <v>0</v>
      </c>
      <c r="I103" s="100">
        <f>'[1]додаток 3'!I127</f>
        <v>0</v>
      </c>
      <c r="J103" s="100">
        <f>'[1]додаток 3'!J127</f>
        <v>612510</v>
      </c>
      <c r="K103" s="100">
        <f>'[1]додаток 3'!K127</f>
        <v>0</v>
      </c>
      <c r="L103" s="100">
        <f>'[1]додаток 3'!L127</f>
        <v>0</v>
      </c>
      <c r="M103" s="93">
        <f t="shared" si="11"/>
        <v>612510</v>
      </c>
      <c r="N103" s="89"/>
    </row>
    <row r="104" spans="1:14" ht="45">
      <c r="A104" s="108">
        <v>240604</v>
      </c>
      <c r="B104" s="114" t="s">
        <v>579</v>
      </c>
      <c r="C104" s="93">
        <f>'[1]додаток 3'!C142</f>
        <v>0</v>
      </c>
      <c r="D104" s="93">
        <f>'[1]додаток 3'!D142</f>
        <v>0</v>
      </c>
      <c r="E104" s="93">
        <f>'[1]додаток 3'!E142</f>
        <v>0</v>
      </c>
      <c r="F104" s="93">
        <f>'[1]додаток 3'!F142</f>
        <v>46301.5</v>
      </c>
      <c r="G104" s="100">
        <f>'[1]додаток 3'!G142</f>
        <v>46301.5</v>
      </c>
      <c r="H104" s="100">
        <f>'[1]додаток 3'!H142</f>
        <v>0</v>
      </c>
      <c r="I104" s="100">
        <f>'[1]додаток 3'!I142</f>
        <v>0</v>
      </c>
      <c r="J104" s="100">
        <f>'[1]додаток 3'!J142</f>
        <v>0</v>
      </c>
      <c r="K104" s="100">
        <f>'[1]додаток 3'!K142</f>
        <v>0</v>
      </c>
      <c r="L104" s="100">
        <f>'[1]додаток 3'!L142</f>
        <v>0</v>
      </c>
      <c r="M104" s="93">
        <f t="shared" si="11"/>
        <v>46301.5</v>
      </c>
      <c r="N104" s="89"/>
    </row>
    <row r="105" spans="1:14" ht="31.5">
      <c r="A105" s="91" t="s">
        <v>580</v>
      </c>
      <c r="B105" s="96" t="s">
        <v>581</v>
      </c>
      <c r="C105" s="93">
        <f>'[1]додаток 3'!C143</f>
        <v>0</v>
      </c>
      <c r="D105" s="93">
        <f>'[1]додаток 3'!D143</f>
        <v>0</v>
      </c>
      <c r="E105" s="93">
        <f>'[1]додаток 3'!E143</f>
        <v>0</v>
      </c>
      <c r="F105" s="93">
        <f>'[1]додаток 3'!F143</f>
        <v>240000</v>
      </c>
      <c r="G105" s="100">
        <f>'[1]додаток 3'!G143</f>
        <v>240000</v>
      </c>
      <c r="H105" s="93">
        <f>'[1]додаток 3'!H143</f>
        <v>0</v>
      </c>
      <c r="I105" s="93">
        <f>'[1]додаток 3'!I143</f>
        <v>0</v>
      </c>
      <c r="J105" s="93">
        <f>'[1]додаток 3'!J143</f>
        <v>0</v>
      </c>
      <c r="K105" s="93">
        <f>'[1]додаток 3'!K143</f>
        <v>0</v>
      </c>
      <c r="L105" s="93">
        <f>'[1]додаток 3'!L143</f>
        <v>0</v>
      </c>
      <c r="M105" s="93">
        <f t="shared" si="11"/>
        <v>240000</v>
      </c>
      <c r="N105" s="89"/>
    </row>
    <row r="106" spans="1:14" s="111" customFormat="1" ht="31.5">
      <c r="A106" s="86" t="s">
        <v>582</v>
      </c>
      <c r="B106" s="87" t="s">
        <v>583</v>
      </c>
      <c r="C106" s="88">
        <f>C107</f>
        <v>87529</v>
      </c>
      <c r="D106" s="88">
        <f aca="true" t="shared" si="16" ref="D106:L106">D107</f>
        <v>0</v>
      </c>
      <c r="E106" s="88">
        <f t="shared" si="16"/>
        <v>0</v>
      </c>
      <c r="F106" s="88">
        <f t="shared" si="16"/>
        <v>0</v>
      </c>
      <c r="G106" s="88">
        <f t="shared" si="16"/>
        <v>0</v>
      </c>
      <c r="H106" s="88">
        <f t="shared" si="16"/>
        <v>0</v>
      </c>
      <c r="I106" s="88">
        <f t="shared" si="16"/>
        <v>0</v>
      </c>
      <c r="J106" s="88">
        <f t="shared" si="16"/>
        <v>0</v>
      </c>
      <c r="K106" s="88">
        <f t="shared" si="16"/>
        <v>0</v>
      </c>
      <c r="L106" s="88">
        <f t="shared" si="16"/>
        <v>0</v>
      </c>
      <c r="M106" s="88">
        <f t="shared" si="11"/>
        <v>87529</v>
      </c>
      <c r="N106" s="89"/>
    </row>
    <row r="107" spans="1:14" ht="15.75">
      <c r="A107" s="115" t="s">
        <v>584</v>
      </c>
      <c r="B107" s="116" t="s">
        <v>585</v>
      </c>
      <c r="C107" s="93">
        <f>C108+C109+C110+C111</f>
        <v>87529</v>
      </c>
      <c r="D107" s="100">
        <f aca="true" t="shared" si="17" ref="D107:L107">D108+D109+D110+D111</f>
        <v>0</v>
      </c>
      <c r="E107" s="100">
        <f t="shared" si="17"/>
        <v>0</v>
      </c>
      <c r="F107" s="93">
        <f t="shared" si="17"/>
        <v>0</v>
      </c>
      <c r="G107" s="100">
        <f t="shared" si="17"/>
        <v>0</v>
      </c>
      <c r="H107" s="100">
        <f t="shared" si="17"/>
        <v>0</v>
      </c>
      <c r="I107" s="100">
        <f t="shared" si="17"/>
        <v>0</v>
      </c>
      <c r="J107" s="100">
        <f t="shared" si="17"/>
        <v>0</v>
      </c>
      <c r="K107" s="100">
        <f t="shared" si="17"/>
        <v>0</v>
      </c>
      <c r="L107" s="100">
        <f t="shared" si="17"/>
        <v>0</v>
      </c>
      <c r="M107" s="93">
        <f t="shared" si="11"/>
        <v>87529</v>
      </c>
      <c r="N107" s="89"/>
    </row>
    <row r="108" spans="1:14" ht="47.25">
      <c r="A108" s="115"/>
      <c r="B108" s="117" t="s">
        <v>586</v>
      </c>
      <c r="C108" s="93">
        <f>'[1]додаток 3'!C15</f>
        <v>34000</v>
      </c>
      <c r="D108" s="93">
        <f>'[1]додаток 3'!D15</f>
        <v>0</v>
      </c>
      <c r="E108" s="93">
        <f>'[1]додаток 3'!E15</f>
        <v>0</v>
      </c>
      <c r="F108" s="93">
        <f>'[1]додаток 3'!F15</f>
        <v>0</v>
      </c>
      <c r="G108" s="93">
        <f>'[1]додаток 3'!G15</f>
        <v>0</v>
      </c>
      <c r="H108" s="93">
        <f>'[1]додаток 3'!H15</f>
        <v>0</v>
      </c>
      <c r="I108" s="93">
        <f>'[1]додаток 3'!I15</f>
        <v>0</v>
      </c>
      <c r="J108" s="93">
        <f>'[1]додаток 3'!J15</f>
        <v>0</v>
      </c>
      <c r="K108" s="93">
        <f>'[1]додаток 3'!K15</f>
        <v>0</v>
      </c>
      <c r="L108" s="93">
        <f>'[1]додаток 3'!L15</f>
        <v>0</v>
      </c>
      <c r="M108" s="93">
        <f t="shared" si="11"/>
        <v>34000</v>
      </c>
      <c r="N108" s="89"/>
    </row>
    <row r="109" spans="1:14" ht="47.25">
      <c r="A109" s="115"/>
      <c r="B109" s="101" t="s">
        <v>587</v>
      </c>
      <c r="C109" s="93">
        <f>'[1]додаток 3'!C19</f>
        <v>30000</v>
      </c>
      <c r="D109" s="93">
        <f>'[1]додаток 3'!D19</f>
        <v>0</v>
      </c>
      <c r="E109" s="93">
        <f>'[1]додаток 3'!E19</f>
        <v>0</v>
      </c>
      <c r="F109" s="93">
        <f>'[1]додаток 3'!F19</f>
        <v>0</v>
      </c>
      <c r="G109" s="93">
        <f>'[1]додаток 3'!G19</f>
        <v>0</v>
      </c>
      <c r="H109" s="93">
        <f>'[1]додаток 3'!H19</f>
        <v>0</v>
      </c>
      <c r="I109" s="93">
        <f>'[1]додаток 3'!I19</f>
        <v>0</v>
      </c>
      <c r="J109" s="93">
        <f>'[1]додаток 3'!J19</f>
        <v>0</v>
      </c>
      <c r="K109" s="93">
        <f>'[1]додаток 3'!K19</f>
        <v>0</v>
      </c>
      <c r="L109" s="93">
        <f>'[1]додаток 3'!L19</f>
        <v>0</v>
      </c>
      <c r="M109" s="93">
        <f t="shared" si="11"/>
        <v>30000</v>
      </c>
      <c r="N109" s="89"/>
    </row>
    <row r="110" spans="1:14" ht="63">
      <c r="A110" s="108"/>
      <c r="B110" s="118" t="s">
        <v>588</v>
      </c>
      <c r="C110" s="93">
        <f>'[1]додаток 3'!C25</f>
        <v>3529</v>
      </c>
      <c r="D110" s="93">
        <f>'[1]додаток 3'!D25</f>
        <v>0</v>
      </c>
      <c r="E110" s="93">
        <f>'[1]додаток 3'!E25</f>
        <v>0</v>
      </c>
      <c r="F110" s="93">
        <f>'[1]додаток 3'!F25</f>
        <v>0</v>
      </c>
      <c r="G110" s="93">
        <f>'[1]додаток 3'!G25</f>
        <v>0</v>
      </c>
      <c r="H110" s="93">
        <f>'[1]додаток 3'!H25</f>
        <v>0</v>
      </c>
      <c r="I110" s="93">
        <f>'[1]додаток 3'!I25</f>
        <v>0</v>
      </c>
      <c r="J110" s="93">
        <f>'[1]додаток 3'!J25</f>
        <v>0</v>
      </c>
      <c r="K110" s="93">
        <f>'[1]додаток 3'!K25</f>
        <v>0</v>
      </c>
      <c r="L110" s="93">
        <f>'[1]додаток 3'!L25</f>
        <v>0</v>
      </c>
      <c r="M110" s="93">
        <f t="shared" si="11"/>
        <v>3529</v>
      </c>
      <c r="N110" s="89"/>
    </row>
    <row r="111" spans="1:14" ht="47.25">
      <c r="A111" s="108"/>
      <c r="B111" s="96" t="s">
        <v>589</v>
      </c>
      <c r="C111" s="93">
        <f>'[1]додаток 3'!C112</f>
        <v>20000</v>
      </c>
      <c r="D111" s="93">
        <f>'[1]додаток 3'!D112</f>
        <v>0</v>
      </c>
      <c r="E111" s="93">
        <f>'[1]додаток 3'!E112</f>
        <v>0</v>
      </c>
      <c r="F111" s="93">
        <f>'[1]додаток 3'!F112</f>
        <v>0</v>
      </c>
      <c r="G111" s="93">
        <f>'[1]додаток 3'!G112</f>
        <v>0</v>
      </c>
      <c r="H111" s="93">
        <f>'[1]додаток 3'!H112</f>
        <v>0</v>
      </c>
      <c r="I111" s="93">
        <f>'[1]додаток 3'!I112</f>
        <v>0</v>
      </c>
      <c r="J111" s="93">
        <f>'[1]додаток 3'!J112</f>
        <v>0</v>
      </c>
      <c r="K111" s="93">
        <f>'[1]додаток 3'!K112</f>
        <v>0</v>
      </c>
      <c r="L111" s="93">
        <f>'[1]додаток 3'!L112</f>
        <v>0</v>
      </c>
      <c r="M111" s="93">
        <f t="shared" si="11"/>
        <v>20000</v>
      </c>
      <c r="N111" s="89"/>
    </row>
    <row r="112" spans="1:14" s="120" customFormat="1" ht="18.75">
      <c r="A112" s="86"/>
      <c r="B112" s="87" t="s">
        <v>590</v>
      </c>
      <c r="C112" s="119">
        <f aca="true" t="shared" si="18" ref="C112:M112">C13+C30+C47+C62+C69+C72+C79+C84+C89+C95+C97+C100+C106</f>
        <v>6533400.97</v>
      </c>
      <c r="D112" s="119">
        <f t="shared" si="18"/>
        <v>526700</v>
      </c>
      <c r="E112" s="119">
        <f t="shared" si="18"/>
        <v>178000</v>
      </c>
      <c r="F112" s="119">
        <f t="shared" si="18"/>
        <v>57170118.93</v>
      </c>
      <c r="G112" s="119">
        <f t="shared" si="18"/>
        <v>23907132.9</v>
      </c>
      <c r="H112" s="119">
        <f t="shared" si="18"/>
        <v>0</v>
      </c>
      <c r="I112" s="119">
        <f t="shared" si="18"/>
        <v>0</v>
      </c>
      <c r="J112" s="119">
        <f t="shared" si="18"/>
        <v>33262986.03</v>
      </c>
      <c r="K112" s="119">
        <f t="shared" si="18"/>
        <v>16917562.07</v>
      </c>
      <c r="L112" s="119">
        <f t="shared" si="18"/>
        <v>3000000</v>
      </c>
      <c r="M112" s="119">
        <f t="shared" si="18"/>
        <v>63703519.900000006</v>
      </c>
      <c r="N112" s="89"/>
    </row>
    <row r="113" spans="1:14" s="111" customFormat="1" ht="18.75">
      <c r="A113" s="86"/>
      <c r="B113" s="87" t="s">
        <v>591</v>
      </c>
      <c r="C113" s="121">
        <f>C114+C115+C116</f>
        <v>16600</v>
      </c>
      <c r="D113" s="121">
        <f aca="true" t="shared" si="19" ref="D113:M113">D114+D115+D116</f>
        <v>0</v>
      </c>
      <c r="E113" s="121">
        <f t="shared" si="19"/>
        <v>0</v>
      </c>
      <c r="F113" s="121">
        <f t="shared" si="19"/>
        <v>1086753.98</v>
      </c>
      <c r="G113" s="121">
        <f t="shared" si="19"/>
        <v>156238</v>
      </c>
      <c r="H113" s="121">
        <f t="shared" si="19"/>
        <v>0</v>
      </c>
      <c r="I113" s="121">
        <f t="shared" si="19"/>
        <v>0</v>
      </c>
      <c r="J113" s="121">
        <f t="shared" si="19"/>
        <v>930515.98</v>
      </c>
      <c r="K113" s="121">
        <f t="shared" si="19"/>
        <v>930515.98</v>
      </c>
      <c r="L113" s="121">
        <f t="shared" si="19"/>
        <v>0</v>
      </c>
      <c r="M113" s="121">
        <f t="shared" si="19"/>
        <v>1103353.98</v>
      </c>
      <c r="N113" s="89"/>
    </row>
    <row r="114" spans="1:14" s="111" customFormat="1" ht="94.5">
      <c r="A114" s="91" t="s">
        <v>592</v>
      </c>
      <c r="B114" s="96" t="s">
        <v>593</v>
      </c>
      <c r="C114" s="122">
        <f>'[1]додаток 3'!C148</f>
        <v>0</v>
      </c>
      <c r="D114" s="122">
        <f>'[1]додаток 3'!D148</f>
        <v>0</v>
      </c>
      <c r="E114" s="122">
        <f>'[1]додаток 3'!E148</f>
        <v>0</v>
      </c>
      <c r="F114" s="122">
        <f>'[1]додаток 3'!F148</f>
        <v>552792.88</v>
      </c>
      <c r="G114" s="122">
        <f>'[1]додаток 3'!G148</f>
        <v>156238</v>
      </c>
      <c r="H114" s="122">
        <f>'[1]додаток 3'!H148</f>
        <v>0</v>
      </c>
      <c r="I114" s="122">
        <f>'[1]додаток 3'!I148</f>
        <v>0</v>
      </c>
      <c r="J114" s="122">
        <f>'[1]додаток 3'!J148</f>
        <v>396554.88</v>
      </c>
      <c r="K114" s="122">
        <f>'[1]додаток 3'!K148</f>
        <v>396554.88</v>
      </c>
      <c r="L114" s="122">
        <f>'[1]додаток 3'!L148</f>
        <v>0</v>
      </c>
      <c r="M114" s="123">
        <f>F114+C114</f>
        <v>552792.88</v>
      </c>
      <c r="N114" s="89"/>
    </row>
    <row r="115" spans="1:14" ht="78.75">
      <c r="A115" s="91" t="s">
        <v>594</v>
      </c>
      <c r="B115" s="96" t="s">
        <v>595</v>
      </c>
      <c r="C115" s="123">
        <f>'[1]додаток 3'!C152</f>
        <v>16600</v>
      </c>
      <c r="D115" s="123">
        <f>'[1]додаток 3'!D152</f>
        <v>0</v>
      </c>
      <c r="E115" s="123">
        <f>'[1]додаток 3'!E152</f>
        <v>0</v>
      </c>
      <c r="F115" s="123">
        <f>'[1]додаток 3'!F152</f>
        <v>37000</v>
      </c>
      <c r="G115" s="123">
        <f>'[1]додаток 3'!G152</f>
        <v>0</v>
      </c>
      <c r="H115" s="123">
        <f>'[1]додаток 3'!H152</f>
        <v>0</v>
      </c>
      <c r="I115" s="123">
        <f>'[1]додаток 3'!I152</f>
        <v>0</v>
      </c>
      <c r="J115" s="123">
        <f>'[1]додаток 3'!J152</f>
        <v>37000</v>
      </c>
      <c r="K115" s="123">
        <f>'[1]додаток 3'!K152</f>
        <v>37000</v>
      </c>
      <c r="L115" s="123">
        <f>'[1]додаток 3'!L152</f>
        <v>0</v>
      </c>
      <c r="M115" s="123">
        <f>F115+C115</f>
        <v>53600</v>
      </c>
      <c r="N115" s="89"/>
    </row>
    <row r="116" spans="1:14" ht="16.5">
      <c r="A116" s="91" t="s">
        <v>594</v>
      </c>
      <c r="B116" s="96" t="s">
        <v>596</v>
      </c>
      <c r="C116" s="123">
        <f>'[1]додаток 3'!C149</f>
        <v>0</v>
      </c>
      <c r="D116" s="123">
        <f>'[1]додаток 3'!D149</f>
        <v>0</v>
      </c>
      <c r="E116" s="123">
        <f>'[1]додаток 3'!E149</f>
        <v>0</v>
      </c>
      <c r="F116" s="123">
        <f>'[1]додаток 3'!F149</f>
        <v>496961.1</v>
      </c>
      <c r="G116" s="123">
        <f>'[1]додаток 3'!G149</f>
        <v>0</v>
      </c>
      <c r="H116" s="123">
        <f>'[1]додаток 3'!H149</f>
        <v>0</v>
      </c>
      <c r="I116" s="123">
        <f>'[1]додаток 3'!I149</f>
        <v>0</v>
      </c>
      <c r="J116" s="123">
        <f>'[1]додаток 3'!J149</f>
        <v>496961.1</v>
      </c>
      <c r="K116" s="123">
        <f>'[1]додаток 3'!K149</f>
        <v>496961.1</v>
      </c>
      <c r="L116" s="123">
        <f>'[1]додаток 3'!L149</f>
        <v>0</v>
      </c>
      <c r="M116" s="123">
        <f>F116+C116</f>
        <v>496961.1</v>
      </c>
      <c r="N116" s="89"/>
    </row>
    <row r="117" spans="1:14" s="99" customFormat="1" ht="19.5">
      <c r="A117" s="124"/>
      <c r="B117" s="125" t="s">
        <v>597</v>
      </c>
      <c r="C117" s="119">
        <f>C112+C113</f>
        <v>6550000.97</v>
      </c>
      <c r="D117" s="119">
        <f aca="true" t="shared" si="20" ref="D117:M117">D112+D113</f>
        <v>526700</v>
      </c>
      <c r="E117" s="119">
        <f t="shared" si="20"/>
        <v>178000</v>
      </c>
      <c r="F117" s="119">
        <f t="shared" si="20"/>
        <v>58256872.91</v>
      </c>
      <c r="G117" s="119">
        <f t="shared" si="20"/>
        <v>24063370.9</v>
      </c>
      <c r="H117" s="119">
        <f t="shared" si="20"/>
        <v>0</v>
      </c>
      <c r="I117" s="119">
        <f t="shared" si="20"/>
        <v>0</v>
      </c>
      <c r="J117" s="119">
        <f t="shared" si="20"/>
        <v>34193502.01</v>
      </c>
      <c r="K117" s="119">
        <f t="shared" si="20"/>
        <v>17848078.05</v>
      </c>
      <c r="L117" s="119">
        <f t="shared" si="20"/>
        <v>3000000</v>
      </c>
      <c r="M117" s="119">
        <f t="shared" si="20"/>
        <v>64806873.88</v>
      </c>
      <c r="N117" s="89"/>
    </row>
    <row r="118" ht="12.75">
      <c r="A118" s="126"/>
    </row>
    <row r="119" spans="1:13" ht="32.25" customHeight="1">
      <c r="A119" s="126"/>
      <c r="C119" s="127"/>
      <c r="D119" s="128"/>
      <c r="E119" s="128"/>
      <c r="F119" s="127"/>
      <c r="G119" s="128"/>
      <c r="H119" s="128"/>
      <c r="I119" s="128"/>
      <c r="J119" s="128"/>
      <c r="K119" s="128"/>
      <c r="L119" s="128"/>
      <c r="M119" s="127"/>
    </row>
    <row r="120" spans="1:13" ht="31.5" customHeight="1">
      <c r="A120" s="126"/>
      <c r="B120" s="605" t="s">
        <v>373</v>
      </c>
      <c r="C120" s="605"/>
      <c r="D120" s="605"/>
      <c r="E120" s="605"/>
      <c r="F120" s="129"/>
      <c r="G120" s="130"/>
      <c r="J120" s="128"/>
      <c r="K120" s="128"/>
      <c r="L120" s="606" t="s">
        <v>375</v>
      </c>
      <c r="M120" s="606"/>
    </row>
    <row r="121" spans="1:13" ht="15.75">
      <c r="A121" s="126"/>
      <c r="C121" s="127"/>
      <c r="D121" s="128"/>
      <c r="E121" s="128"/>
      <c r="F121" s="127"/>
      <c r="G121" s="128"/>
      <c r="H121" s="128"/>
      <c r="I121" s="128"/>
      <c r="J121" s="128"/>
      <c r="K121" s="128"/>
      <c r="L121" s="128"/>
      <c r="M121" s="127"/>
    </row>
    <row r="122" spans="1:13" ht="15.75">
      <c r="A122" s="126"/>
      <c r="B122" s="132"/>
      <c r="C122" s="133">
        <f>C117-'[1]додаток 3'!C153</f>
        <v>0</v>
      </c>
      <c r="D122" s="133">
        <f>D117-'[1]додаток 3'!D153</f>
        <v>0</v>
      </c>
      <c r="E122" s="133">
        <f>E117-'[1]додаток 3'!E153</f>
        <v>0</v>
      </c>
      <c r="F122" s="133">
        <f>F117-'[1]додаток 3'!F153</f>
        <v>0</v>
      </c>
      <c r="G122" s="133">
        <f>G117-'[1]додаток 3'!G153</f>
        <v>0</v>
      </c>
      <c r="H122" s="133">
        <f>H117-'[1]додаток 3'!H153</f>
        <v>0</v>
      </c>
      <c r="I122" s="133">
        <f>I117-'[1]додаток 3'!I153</f>
        <v>0</v>
      </c>
      <c r="J122" s="133">
        <f>J117-'[1]додаток 3'!J153</f>
        <v>0</v>
      </c>
      <c r="K122" s="133">
        <f>K117-'[1]додаток 3'!K153</f>
        <v>0</v>
      </c>
      <c r="L122" s="133">
        <f>L117-'[1]додаток 3'!L153</f>
        <v>0</v>
      </c>
      <c r="M122" s="133">
        <f>M117-'[1]додаток 3'!M153</f>
        <v>0</v>
      </c>
    </row>
    <row r="123" spans="1:3" ht="15.75">
      <c r="A123" s="126"/>
      <c r="B123" s="134"/>
      <c r="C123" s="133"/>
    </row>
    <row r="124" spans="1:3" ht="15.75">
      <c r="A124" s="126"/>
      <c r="B124" s="134"/>
      <c r="C124" s="133"/>
    </row>
    <row r="125" spans="1:3" ht="15.75">
      <c r="A125" s="126"/>
      <c r="B125" s="134"/>
      <c r="C125" s="133"/>
    </row>
    <row r="126" spans="1:3" ht="15.75">
      <c r="A126" s="126"/>
      <c r="B126" s="134"/>
      <c r="C126" s="133"/>
    </row>
    <row r="127" spans="1:3" ht="15.75">
      <c r="A127" s="126"/>
      <c r="B127" s="134"/>
      <c r="C127" s="133"/>
    </row>
    <row r="128" ht="12.75">
      <c r="A128" s="126"/>
    </row>
    <row r="129" spans="1:12" ht="12.75">
      <c r="A129" s="126"/>
      <c r="C129" s="133"/>
      <c r="F129" s="133"/>
      <c r="L129" s="135"/>
    </row>
    <row r="130" spans="1:3" ht="12.75">
      <c r="A130" s="126"/>
      <c r="C130" s="136"/>
    </row>
    <row r="131" ht="12.75">
      <c r="A131" s="126"/>
    </row>
    <row r="132" spans="1:6" ht="12.75">
      <c r="A132" s="126"/>
      <c r="F132" s="133"/>
    </row>
    <row r="136" ht="12.75">
      <c r="C136" s="133"/>
    </row>
  </sheetData>
  <mergeCells count="21">
    <mergeCell ref="F9:F11"/>
    <mergeCell ref="K10:K11"/>
    <mergeCell ref="A5:M5"/>
    <mergeCell ref="A6:M6"/>
    <mergeCell ref="A8:A11"/>
    <mergeCell ref="B8:B11"/>
    <mergeCell ref="C8:E8"/>
    <mergeCell ref="F8:L8"/>
    <mergeCell ref="M8:M11"/>
    <mergeCell ref="C9:C11"/>
    <mergeCell ref="D9:E9"/>
    <mergeCell ref="B120:E120"/>
    <mergeCell ref="L120:M120"/>
    <mergeCell ref="D10:D11"/>
    <mergeCell ref="E10:E11"/>
    <mergeCell ref="H10:H11"/>
    <mergeCell ref="I10:I11"/>
    <mergeCell ref="G9:G11"/>
    <mergeCell ref="H9:I9"/>
    <mergeCell ref="J9:J11"/>
    <mergeCell ref="K9:L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4"/>
  <sheetViews>
    <sheetView tabSelected="1" zoomScale="75" zoomScaleNormal="75" workbookViewId="0" topLeftCell="A151">
      <selection activeCell="C173" sqref="C173"/>
    </sheetView>
  </sheetViews>
  <sheetFormatPr defaultColWidth="9.33203125" defaultRowHeight="12.75"/>
  <cols>
    <col min="1" max="1" width="16.66015625" style="137" customWidth="1"/>
    <col min="2" max="2" width="26" style="138" customWidth="1"/>
    <col min="3" max="3" width="26" style="139" customWidth="1"/>
    <col min="4" max="4" width="20" style="0" customWidth="1"/>
    <col min="5" max="5" width="19.16015625" style="0" customWidth="1"/>
    <col min="6" max="6" width="23.83203125" style="140" customWidth="1"/>
    <col min="7" max="7" width="23.5" style="0" customWidth="1"/>
    <col min="10" max="10" width="23.16015625" style="0" customWidth="1"/>
    <col min="11" max="11" width="34.83203125" style="0" customWidth="1"/>
    <col min="12" max="12" width="20.16015625" style="0" customWidth="1"/>
    <col min="13" max="13" width="26" style="139" customWidth="1"/>
    <col min="14" max="14" width="16.66015625" style="0" customWidth="1"/>
  </cols>
  <sheetData>
    <row r="1" ht="12.75">
      <c r="L1" t="s">
        <v>598</v>
      </c>
    </row>
    <row r="2" spans="1:12" ht="12.75">
      <c r="A2" s="141"/>
      <c r="B2" s="142"/>
      <c r="C2" s="143"/>
      <c r="L2" t="s">
        <v>377</v>
      </c>
    </row>
    <row r="3" spans="1:12" ht="12.75">
      <c r="A3" s="141"/>
      <c r="B3" s="142"/>
      <c r="C3" s="143"/>
      <c r="L3" s="144" t="s">
        <v>599</v>
      </c>
    </row>
    <row r="4" spans="1:13" ht="20.25">
      <c r="A4" s="580" t="s">
        <v>600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</row>
    <row r="5" spans="1:13" ht="20.25">
      <c r="A5" s="580" t="s">
        <v>601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</row>
    <row r="6" spans="1:13" ht="12.75">
      <c r="A6" s="145"/>
      <c r="B6" s="142"/>
      <c r="M6" s="146" t="s">
        <v>602</v>
      </c>
    </row>
    <row r="7" spans="1:13" ht="55.5" customHeight="1">
      <c r="A7" s="147" t="s">
        <v>603</v>
      </c>
      <c r="B7" s="148" t="s">
        <v>604</v>
      </c>
      <c r="C7" s="581" t="s">
        <v>420</v>
      </c>
      <c r="D7" s="581"/>
      <c r="E7" s="581"/>
      <c r="F7" s="581" t="s">
        <v>421</v>
      </c>
      <c r="G7" s="581"/>
      <c r="H7" s="581"/>
      <c r="I7" s="581"/>
      <c r="J7" s="581"/>
      <c r="K7" s="581"/>
      <c r="L7" s="581"/>
      <c r="M7" s="612" t="s">
        <v>422</v>
      </c>
    </row>
    <row r="8" spans="1:13" ht="14.25" customHeight="1">
      <c r="A8" s="582" t="s">
        <v>418</v>
      </c>
      <c r="B8" s="552" t="s">
        <v>419</v>
      </c>
      <c r="C8" s="608" t="s">
        <v>423</v>
      </c>
      <c r="D8" s="608" t="s">
        <v>424</v>
      </c>
      <c r="E8" s="608"/>
      <c r="F8" s="608" t="s">
        <v>423</v>
      </c>
      <c r="G8" s="607" t="s">
        <v>425</v>
      </c>
      <c r="H8" s="608" t="s">
        <v>424</v>
      </c>
      <c r="I8" s="608"/>
      <c r="J8" s="607" t="s">
        <v>426</v>
      </c>
      <c r="K8" s="607" t="s">
        <v>424</v>
      </c>
      <c r="L8" s="607"/>
      <c r="M8" s="612"/>
    </row>
    <row r="9" spans="1:13" ht="13.5" customHeight="1">
      <c r="A9" s="582"/>
      <c r="B9" s="552"/>
      <c r="C9" s="608"/>
      <c r="D9" s="607" t="s">
        <v>427</v>
      </c>
      <c r="E9" s="607" t="s">
        <v>428</v>
      </c>
      <c r="F9" s="608"/>
      <c r="G9" s="607"/>
      <c r="H9" s="614" t="s">
        <v>427</v>
      </c>
      <c r="I9" s="614" t="s">
        <v>428</v>
      </c>
      <c r="J9" s="607"/>
      <c r="K9" s="607" t="s">
        <v>429</v>
      </c>
      <c r="L9" s="79" t="s">
        <v>424</v>
      </c>
      <c r="M9" s="612"/>
    </row>
    <row r="10" spans="1:13" ht="104.25" customHeight="1">
      <c r="A10" s="582"/>
      <c r="B10" s="552"/>
      <c r="C10" s="608"/>
      <c r="D10" s="607"/>
      <c r="E10" s="607"/>
      <c r="F10" s="608"/>
      <c r="G10" s="607"/>
      <c r="H10" s="614"/>
      <c r="I10" s="614"/>
      <c r="J10" s="607"/>
      <c r="K10" s="607"/>
      <c r="L10" s="149" t="s">
        <v>430</v>
      </c>
      <c r="M10" s="612"/>
    </row>
    <row r="11" spans="1:13" ht="12.75" customHeight="1">
      <c r="A11" s="150">
        <v>1</v>
      </c>
      <c r="B11" s="151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 t="s">
        <v>431</v>
      </c>
    </row>
    <row r="12" spans="1:14" s="157" customFormat="1" ht="16.5">
      <c r="A12" s="153" t="s">
        <v>605</v>
      </c>
      <c r="B12" s="154" t="s">
        <v>606</v>
      </c>
      <c r="C12" s="155">
        <f>C13</f>
        <v>34000</v>
      </c>
      <c r="D12" s="155">
        <f aca="true" t="shared" si="0" ref="D12:L13">D13</f>
        <v>0</v>
      </c>
      <c r="E12" s="155">
        <f t="shared" si="0"/>
        <v>0</v>
      </c>
      <c r="F12" s="155">
        <f t="shared" si="0"/>
        <v>0</v>
      </c>
      <c r="G12" s="155">
        <f t="shared" si="0"/>
        <v>0</v>
      </c>
      <c r="H12" s="155">
        <f t="shared" si="0"/>
        <v>0</v>
      </c>
      <c r="I12" s="155">
        <f t="shared" si="0"/>
        <v>0</v>
      </c>
      <c r="J12" s="155">
        <f t="shared" si="0"/>
        <v>0</v>
      </c>
      <c r="K12" s="155">
        <f t="shared" si="0"/>
        <v>0</v>
      </c>
      <c r="L12" s="155">
        <f t="shared" si="0"/>
        <v>0</v>
      </c>
      <c r="M12" s="155">
        <f>C12+F12</f>
        <v>34000</v>
      </c>
      <c r="N12" s="156">
        <f>C12+F12</f>
        <v>34000</v>
      </c>
    </row>
    <row r="13" spans="1:14" s="159" customFormat="1" ht="31.5">
      <c r="A13" s="72" t="s">
        <v>607</v>
      </c>
      <c r="B13" s="107" t="s">
        <v>608</v>
      </c>
      <c r="C13" s="123">
        <f>C14</f>
        <v>34000</v>
      </c>
      <c r="D13" s="123"/>
      <c r="E13" s="123"/>
      <c r="F13" s="123">
        <f t="shared" si="0"/>
        <v>0</v>
      </c>
      <c r="G13" s="123">
        <f t="shared" si="0"/>
        <v>0</v>
      </c>
      <c r="H13" s="123">
        <f t="shared" si="0"/>
        <v>0</v>
      </c>
      <c r="I13" s="123">
        <f t="shared" si="0"/>
        <v>0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58">
        <f>SUM(F13,C13)</f>
        <v>34000</v>
      </c>
      <c r="N13" s="156"/>
    </row>
    <row r="14" spans="1:14" s="159" customFormat="1" ht="18" customHeight="1">
      <c r="A14" s="91" t="s">
        <v>584</v>
      </c>
      <c r="B14" s="92" t="s">
        <v>609</v>
      </c>
      <c r="C14" s="123">
        <f>C15</f>
        <v>34000</v>
      </c>
      <c r="D14" s="160"/>
      <c r="E14" s="160"/>
      <c r="F14" s="158"/>
      <c r="G14" s="160"/>
      <c r="H14" s="160"/>
      <c r="I14" s="160"/>
      <c r="J14" s="160"/>
      <c r="K14" s="160"/>
      <c r="L14" s="160"/>
      <c r="M14" s="158">
        <f>SUM(F14,C14)</f>
        <v>34000</v>
      </c>
      <c r="N14" s="156">
        <f aca="true" t="shared" si="1" ref="N14:N77">C14+F14</f>
        <v>34000</v>
      </c>
    </row>
    <row r="15" spans="1:14" s="159" customFormat="1" ht="47.25">
      <c r="A15" s="91" t="s">
        <v>380</v>
      </c>
      <c r="B15" s="117" t="s">
        <v>586</v>
      </c>
      <c r="C15" s="123">
        <v>34000</v>
      </c>
      <c r="D15" s="160"/>
      <c r="E15" s="160"/>
      <c r="F15" s="158"/>
      <c r="G15" s="160"/>
      <c r="H15" s="160"/>
      <c r="I15" s="160"/>
      <c r="J15" s="160"/>
      <c r="K15" s="160"/>
      <c r="L15" s="160"/>
      <c r="M15" s="158">
        <f>SUM(F15,C15)</f>
        <v>34000</v>
      </c>
      <c r="N15" s="156">
        <f t="shared" si="1"/>
        <v>34000</v>
      </c>
    </row>
    <row r="16" spans="1:14" s="159" customFormat="1" ht="31.5">
      <c r="A16" s="153" t="s">
        <v>610</v>
      </c>
      <c r="B16" s="154" t="s">
        <v>611</v>
      </c>
      <c r="C16" s="155">
        <f>C17</f>
        <v>30000</v>
      </c>
      <c r="D16" s="155">
        <f aca="true" t="shared" si="2" ref="D16:L16">D17</f>
        <v>0</v>
      </c>
      <c r="E16" s="155">
        <f t="shared" si="2"/>
        <v>0</v>
      </c>
      <c r="F16" s="155">
        <f t="shared" si="2"/>
        <v>0</v>
      </c>
      <c r="G16" s="155">
        <f t="shared" si="2"/>
        <v>0</v>
      </c>
      <c r="H16" s="155">
        <f t="shared" si="2"/>
        <v>0</v>
      </c>
      <c r="I16" s="155">
        <f t="shared" si="2"/>
        <v>0</v>
      </c>
      <c r="J16" s="155">
        <f t="shared" si="2"/>
        <v>0</v>
      </c>
      <c r="K16" s="155">
        <f t="shared" si="2"/>
        <v>0</v>
      </c>
      <c r="L16" s="155">
        <f t="shared" si="2"/>
        <v>0</v>
      </c>
      <c r="M16" s="155">
        <f>C16+F16</f>
        <v>30000</v>
      </c>
      <c r="N16" s="156">
        <f t="shared" si="1"/>
        <v>30000</v>
      </c>
    </row>
    <row r="17" spans="1:14" s="159" customFormat="1" ht="31.5">
      <c r="A17" s="72" t="s">
        <v>607</v>
      </c>
      <c r="B17" s="107" t="s">
        <v>608</v>
      </c>
      <c r="C17" s="161">
        <f>C18</f>
        <v>30000</v>
      </c>
      <c r="D17" s="162"/>
      <c r="E17" s="162"/>
      <c r="F17" s="161"/>
      <c r="G17" s="162"/>
      <c r="H17" s="162"/>
      <c r="I17" s="162"/>
      <c r="J17" s="162"/>
      <c r="K17" s="162"/>
      <c r="L17" s="162"/>
      <c r="M17" s="158">
        <f>SUM(F17,C17)</f>
        <v>30000</v>
      </c>
      <c r="N17" s="156"/>
    </row>
    <row r="18" spans="1:14" s="159" customFormat="1" ht="16.5">
      <c r="A18" s="91" t="s">
        <v>584</v>
      </c>
      <c r="B18" s="116" t="s">
        <v>585</v>
      </c>
      <c r="C18" s="123">
        <f>C19</f>
        <v>30000</v>
      </c>
      <c r="D18" s="160"/>
      <c r="E18" s="160"/>
      <c r="F18" s="158"/>
      <c r="G18" s="160"/>
      <c r="H18" s="160"/>
      <c r="I18" s="160"/>
      <c r="J18" s="160"/>
      <c r="K18" s="160"/>
      <c r="L18" s="160"/>
      <c r="M18" s="158">
        <f>SUM(F18,C18)</f>
        <v>30000</v>
      </c>
      <c r="N18" s="156">
        <f t="shared" si="1"/>
        <v>30000</v>
      </c>
    </row>
    <row r="19" spans="1:14" s="159" customFormat="1" ht="48" customHeight="1">
      <c r="A19" s="163"/>
      <c r="B19" s="101" t="s">
        <v>587</v>
      </c>
      <c r="C19" s="123">
        <v>30000</v>
      </c>
      <c r="D19" s="160"/>
      <c r="E19" s="160"/>
      <c r="F19" s="158"/>
      <c r="G19" s="160"/>
      <c r="H19" s="160"/>
      <c r="I19" s="160"/>
      <c r="J19" s="160"/>
      <c r="K19" s="160"/>
      <c r="L19" s="160"/>
      <c r="M19" s="158">
        <f>SUM(F19,C19)</f>
        <v>30000</v>
      </c>
      <c r="N19" s="156">
        <f t="shared" si="1"/>
        <v>30000</v>
      </c>
    </row>
    <row r="20" spans="1:14" s="165" customFormat="1" ht="47.25">
      <c r="A20" s="153" t="s">
        <v>612</v>
      </c>
      <c r="B20" s="164" t="s">
        <v>613</v>
      </c>
      <c r="C20" s="155">
        <f>C25+C21</f>
        <v>70529</v>
      </c>
      <c r="D20" s="155">
        <f aca="true" t="shared" si="3" ref="D20:L20">D25</f>
        <v>0</v>
      </c>
      <c r="E20" s="155">
        <f t="shared" si="3"/>
        <v>0</v>
      </c>
      <c r="F20" s="155">
        <f t="shared" si="3"/>
        <v>0</v>
      </c>
      <c r="G20" s="155">
        <f t="shared" si="3"/>
        <v>0</v>
      </c>
      <c r="H20" s="155">
        <f t="shared" si="3"/>
        <v>0</v>
      </c>
      <c r="I20" s="155">
        <f t="shared" si="3"/>
        <v>0</v>
      </c>
      <c r="J20" s="155">
        <f t="shared" si="3"/>
        <v>0</v>
      </c>
      <c r="K20" s="155">
        <f t="shared" si="3"/>
        <v>0</v>
      </c>
      <c r="L20" s="155">
        <f t="shared" si="3"/>
        <v>0</v>
      </c>
      <c r="M20" s="155">
        <f>C20+F20</f>
        <v>70529</v>
      </c>
      <c r="N20" s="156">
        <f t="shared" si="1"/>
        <v>70529</v>
      </c>
    </row>
    <row r="21" spans="1:14" s="165" customFormat="1" ht="16.5">
      <c r="A21" s="72" t="s">
        <v>530</v>
      </c>
      <c r="B21" s="107" t="s">
        <v>531</v>
      </c>
      <c r="C21" s="161">
        <f>C22</f>
        <v>67000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58">
        <f>SUM(F21,C21)</f>
        <v>67000</v>
      </c>
      <c r="N21" s="156"/>
    </row>
    <row r="22" spans="1:14" s="165" customFormat="1" ht="16.5">
      <c r="A22" s="105" t="s">
        <v>532</v>
      </c>
      <c r="B22" s="106" t="s">
        <v>533</v>
      </c>
      <c r="C22" s="161">
        <f>C23</f>
        <v>67000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58">
        <f>SUM(F22,C22)</f>
        <v>67000</v>
      </c>
      <c r="N22" s="156"/>
    </row>
    <row r="23" spans="1:14" s="165" customFormat="1" ht="97.5" customHeight="1">
      <c r="A23" s="105" t="s">
        <v>380</v>
      </c>
      <c r="B23" s="106" t="s">
        <v>534</v>
      </c>
      <c r="C23" s="161">
        <v>67000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58">
        <f>SUM(F23,C23)</f>
        <v>67000</v>
      </c>
      <c r="N23" s="156"/>
    </row>
    <row r="24" spans="1:14" s="165" customFormat="1" ht="31.5">
      <c r="A24" s="72" t="s">
        <v>607</v>
      </c>
      <c r="B24" s="107" t="s">
        <v>608</v>
      </c>
      <c r="C24" s="161">
        <f>C25</f>
        <v>3529</v>
      </c>
      <c r="D24" s="162"/>
      <c r="E24" s="162"/>
      <c r="F24" s="161"/>
      <c r="G24" s="162"/>
      <c r="H24" s="162"/>
      <c r="I24" s="162"/>
      <c r="J24" s="162"/>
      <c r="K24" s="162"/>
      <c r="L24" s="162"/>
      <c r="M24" s="158">
        <f aca="true" t="shared" si="4" ref="M24:M48">SUM(F24,C24)</f>
        <v>3529</v>
      </c>
      <c r="N24" s="156"/>
    </row>
    <row r="25" spans="1:14" ht="64.5" customHeight="1">
      <c r="A25" s="91" t="s">
        <v>584</v>
      </c>
      <c r="B25" s="118" t="s">
        <v>588</v>
      </c>
      <c r="C25" s="166">
        <v>3529</v>
      </c>
      <c r="D25" s="110"/>
      <c r="E25" s="110"/>
      <c r="F25" s="167"/>
      <c r="G25" s="162"/>
      <c r="H25" s="110"/>
      <c r="I25" s="110"/>
      <c r="J25" s="110"/>
      <c r="K25" s="110"/>
      <c r="L25" s="110"/>
      <c r="M25" s="158">
        <f t="shared" si="4"/>
        <v>3529</v>
      </c>
      <c r="N25" s="156">
        <f t="shared" si="1"/>
        <v>3529</v>
      </c>
    </row>
    <row r="26" spans="1:14" ht="64.5" customHeight="1">
      <c r="A26" s="153" t="s">
        <v>614</v>
      </c>
      <c r="B26" s="164" t="s">
        <v>615</v>
      </c>
      <c r="C26" s="155">
        <f>C28</f>
        <v>23100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>
        <f>C26+F26</f>
        <v>23100</v>
      </c>
      <c r="N26" s="156">
        <f t="shared" si="1"/>
        <v>23100</v>
      </c>
    </row>
    <row r="27" spans="1:14" ht="31.5">
      <c r="A27" s="72" t="s">
        <v>616</v>
      </c>
      <c r="B27" s="168" t="s">
        <v>617</v>
      </c>
      <c r="C27" s="161">
        <f>C28</f>
        <v>23100</v>
      </c>
      <c r="D27" s="161">
        <f aca="true" t="shared" si="5" ref="D27:L27">D28</f>
        <v>0</v>
      </c>
      <c r="E27" s="161">
        <f t="shared" si="5"/>
        <v>0</v>
      </c>
      <c r="F27" s="161">
        <f t="shared" si="5"/>
        <v>0</v>
      </c>
      <c r="G27" s="161">
        <f t="shared" si="5"/>
        <v>0</v>
      </c>
      <c r="H27" s="161">
        <f t="shared" si="5"/>
        <v>0</v>
      </c>
      <c r="I27" s="161">
        <f t="shared" si="5"/>
        <v>0</v>
      </c>
      <c r="J27" s="161">
        <f t="shared" si="5"/>
        <v>0</v>
      </c>
      <c r="K27" s="161">
        <f t="shared" si="5"/>
        <v>0</v>
      </c>
      <c r="L27" s="161">
        <f t="shared" si="5"/>
        <v>0</v>
      </c>
      <c r="M27" s="167">
        <f t="shared" si="4"/>
        <v>23100</v>
      </c>
      <c r="N27" s="156"/>
    </row>
    <row r="28" spans="1:16" ht="35.25" customHeight="1">
      <c r="A28" s="91" t="s">
        <v>562</v>
      </c>
      <c r="B28" s="95" t="s">
        <v>563</v>
      </c>
      <c r="C28" s="166">
        <f>C29</f>
        <v>23100</v>
      </c>
      <c r="D28" s="110"/>
      <c r="E28" s="110"/>
      <c r="F28" s="167"/>
      <c r="G28" s="162"/>
      <c r="H28" s="110"/>
      <c r="I28" s="110"/>
      <c r="J28" s="110"/>
      <c r="K28" s="110"/>
      <c r="L28" s="110"/>
      <c r="M28" s="167">
        <f t="shared" si="4"/>
        <v>23100</v>
      </c>
      <c r="N28" s="156">
        <f t="shared" si="1"/>
        <v>23100</v>
      </c>
      <c r="P28" s="169"/>
    </row>
    <row r="29" spans="1:14" ht="51" customHeight="1">
      <c r="A29" s="91" t="s">
        <v>380</v>
      </c>
      <c r="B29" s="95" t="s">
        <v>564</v>
      </c>
      <c r="C29" s="166">
        <v>23100</v>
      </c>
      <c r="D29" s="110"/>
      <c r="E29" s="110"/>
      <c r="F29" s="167"/>
      <c r="G29" s="162"/>
      <c r="H29" s="110"/>
      <c r="I29" s="110"/>
      <c r="J29" s="110"/>
      <c r="K29" s="110"/>
      <c r="L29" s="110"/>
      <c r="M29" s="167">
        <f t="shared" si="4"/>
        <v>23100</v>
      </c>
      <c r="N29" s="156">
        <f t="shared" si="1"/>
        <v>23100</v>
      </c>
    </row>
    <row r="30" spans="1:14" s="157" customFormat="1" ht="31.5">
      <c r="A30" s="153" t="s">
        <v>618</v>
      </c>
      <c r="B30" s="164" t="s">
        <v>619</v>
      </c>
      <c r="C30" s="155">
        <f aca="true" t="shared" si="6" ref="C30:L30">C31+C46</f>
        <v>2028294.1</v>
      </c>
      <c r="D30" s="155">
        <f t="shared" si="6"/>
        <v>0</v>
      </c>
      <c r="E30" s="155">
        <f t="shared" si="6"/>
        <v>0</v>
      </c>
      <c r="F30" s="155">
        <f t="shared" si="6"/>
        <v>2288073.25</v>
      </c>
      <c r="G30" s="155">
        <f t="shared" si="6"/>
        <v>0</v>
      </c>
      <c r="H30" s="155">
        <f t="shared" si="6"/>
        <v>0</v>
      </c>
      <c r="I30" s="155">
        <f t="shared" si="6"/>
        <v>0</v>
      </c>
      <c r="J30" s="155">
        <f t="shared" si="6"/>
        <v>2288073.25</v>
      </c>
      <c r="K30" s="155">
        <f t="shared" si="6"/>
        <v>2288073.25</v>
      </c>
      <c r="L30" s="155">
        <f t="shared" si="6"/>
        <v>0</v>
      </c>
      <c r="M30" s="155">
        <f>SUM(F30,C30)</f>
        <v>4316367.35</v>
      </c>
      <c r="N30" s="156">
        <f t="shared" si="1"/>
        <v>4316367.35</v>
      </c>
    </row>
    <row r="31" spans="1:14" s="157" customFormat="1" ht="16.5">
      <c r="A31" s="72" t="s">
        <v>620</v>
      </c>
      <c r="B31" s="170" t="s">
        <v>621</v>
      </c>
      <c r="C31" s="161">
        <f>C32+C33+C34+C35+C36+C37+C38+C39+C40+C42+C43+C44</f>
        <v>2015907.2000000002</v>
      </c>
      <c r="D31" s="161">
        <f aca="true" t="shared" si="7" ref="D31:L31">D32+D33+D34+D35+D36+D37+D38+D39+D40+D42+D43+D44</f>
        <v>0</v>
      </c>
      <c r="E31" s="161">
        <f t="shared" si="7"/>
        <v>0</v>
      </c>
      <c r="F31" s="161">
        <f t="shared" si="7"/>
        <v>2280573.25</v>
      </c>
      <c r="G31" s="161">
        <f t="shared" si="7"/>
        <v>0</v>
      </c>
      <c r="H31" s="161">
        <f t="shared" si="7"/>
        <v>0</v>
      </c>
      <c r="I31" s="161">
        <f t="shared" si="7"/>
        <v>0</v>
      </c>
      <c r="J31" s="161">
        <f t="shared" si="7"/>
        <v>2280573.25</v>
      </c>
      <c r="K31" s="161">
        <f t="shared" si="7"/>
        <v>2280573.25</v>
      </c>
      <c r="L31" s="161">
        <f t="shared" si="7"/>
        <v>0</v>
      </c>
      <c r="M31" s="167">
        <f t="shared" si="4"/>
        <v>4296480.45</v>
      </c>
      <c r="N31" s="156"/>
    </row>
    <row r="32" spans="1:14" ht="47.25">
      <c r="A32" s="91" t="s">
        <v>434</v>
      </c>
      <c r="B32" s="92" t="s">
        <v>435</v>
      </c>
      <c r="C32" s="167">
        <v>216012.92</v>
      </c>
      <c r="D32" s="171"/>
      <c r="E32" s="171"/>
      <c r="F32" s="167">
        <f>G32+J32</f>
        <v>28808.2</v>
      </c>
      <c r="G32" s="171"/>
      <c r="H32" s="171"/>
      <c r="I32" s="171"/>
      <c r="J32" s="171">
        <f>K32</f>
        <v>28808.2</v>
      </c>
      <c r="K32" s="171">
        <v>28808.2</v>
      </c>
      <c r="L32" s="171"/>
      <c r="M32" s="167">
        <f t="shared" si="4"/>
        <v>244821.12000000002</v>
      </c>
      <c r="N32" s="156">
        <f t="shared" si="1"/>
        <v>244821.12000000002</v>
      </c>
    </row>
    <row r="33" spans="1:14" ht="68.25" customHeight="1">
      <c r="A33" s="91" t="s">
        <v>436</v>
      </c>
      <c r="B33" s="92" t="s">
        <v>437</v>
      </c>
      <c r="C33" s="167">
        <v>200194.22</v>
      </c>
      <c r="D33" s="171"/>
      <c r="E33" s="171"/>
      <c r="F33" s="167">
        <f aca="true" t="shared" si="8" ref="F33:F48">G33+J33</f>
        <v>48000</v>
      </c>
      <c r="G33" s="171"/>
      <c r="H33" s="171"/>
      <c r="I33" s="171"/>
      <c r="J33" s="171">
        <f aca="true" t="shared" si="9" ref="J33:J48">K33</f>
        <v>48000</v>
      </c>
      <c r="K33" s="171">
        <v>48000</v>
      </c>
      <c r="L33" s="171"/>
      <c r="M33" s="167">
        <f t="shared" si="4"/>
        <v>248194.22</v>
      </c>
      <c r="N33" s="156">
        <f t="shared" si="1"/>
        <v>248194.22</v>
      </c>
    </row>
    <row r="34" spans="1:14" ht="31.5">
      <c r="A34" s="91" t="s">
        <v>438</v>
      </c>
      <c r="B34" s="94" t="s">
        <v>439</v>
      </c>
      <c r="C34" s="167">
        <v>35153.63</v>
      </c>
      <c r="D34" s="171"/>
      <c r="E34" s="171"/>
      <c r="F34" s="167">
        <f t="shared" si="8"/>
        <v>158924.56</v>
      </c>
      <c r="G34" s="171"/>
      <c r="H34" s="171"/>
      <c r="I34" s="171"/>
      <c r="J34" s="171">
        <f t="shared" si="9"/>
        <v>158924.56</v>
      </c>
      <c r="K34" s="171">
        <v>158924.56</v>
      </c>
      <c r="L34" s="171"/>
      <c r="M34" s="167">
        <f t="shared" si="4"/>
        <v>194078.19</v>
      </c>
      <c r="N34" s="156">
        <f t="shared" si="1"/>
        <v>194078.19</v>
      </c>
    </row>
    <row r="35" spans="1:14" ht="79.5" customHeight="1">
      <c r="A35" s="91" t="s">
        <v>440</v>
      </c>
      <c r="B35" s="92" t="s">
        <v>441</v>
      </c>
      <c r="C35" s="167">
        <v>460770.25</v>
      </c>
      <c r="D35" s="171"/>
      <c r="E35" s="171"/>
      <c r="F35" s="167">
        <f t="shared" si="8"/>
        <v>750701.22</v>
      </c>
      <c r="G35" s="171"/>
      <c r="H35" s="171"/>
      <c r="I35" s="171"/>
      <c r="J35" s="171">
        <f t="shared" si="9"/>
        <v>750701.22</v>
      </c>
      <c r="K35" s="171">
        <v>750701.22</v>
      </c>
      <c r="L35" s="171"/>
      <c r="M35" s="167">
        <f t="shared" si="4"/>
        <v>1211471.47</v>
      </c>
      <c r="N35" s="156">
        <f t="shared" si="1"/>
        <v>1211471.47</v>
      </c>
    </row>
    <row r="36" spans="1:14" ht="126" customHeight="1">
      <c r="A36" s="91" t="s">
        <v>442</v>
      </c>
      <c r="B36" s="92" t="s">
        <v>443</v>
      </c>
      <c r="C36" s="167">
        <v>451816.8</v>
      </c>
      <c r="D36" s="171"/>
      <c r="E36" s="171"/>
      <c r="F36" s="167">
        <f t="shared" si="8"/>
        <v>36203</v>
      </c>
      <c r="G36" s="171"/>
      <c r="H36" s="171"/>
      <c r="I36" s="171"/>
      <c r="J36" s="171">
        <f t="shared" si="9"/>
        <v>36203</v>
      </c>
      <c r="K36" s="171">
        <v>36203</v>
      </c>
      <c r="L36" s="171"/>
      <c r="M36" s="167">
        <f t="shared" si="4"/>
        <v>488019.8</v>
      </c>
      <c r="N36" s="156">
        <f t="shared" si="1"/>
        <v>488019.8</v>
      </c>
    </row>
    <row r="37" spans="1:14" ht="47.25">
      <c r="A37" s="91" t="s">
        <v>444</v>
      </c>
      <c r="B37" s="92" t="s">
        <v>445</v>
      </c>
      <c r="C37" s="167">
        <v>143595.41</v>
      </c>
      <c r="D37" s="171"/>
      <c r="E37" s="171"/>
      <c r="F37" s="167">
        <f t="shared" si="8"/>
        <v>0</v>
      </c>
      <c r="G37" s="171"/>
      <c r="H37" s="171"/>
      <c r="I37" s="171"/>
      <c r="J37" s="171">
        <f t="shared" si="9"/>
        <v>0</v>
      </c>
      <c r="K37" s="171"/>
      <c r="L37" s="171"/>
      <c r="M37" s="167">
        <f t="shared" si="4"/>
        <v>143595.41</v>
      </c>
      <c r="N37" s="156">
        <f t="shared" si="1"/>
        <v>143595.41</v>
      </c>
    </row>
    <row r="38" spans="1:14" ht="31.5">
      <c r="A38" s="91" t="s">
        <v>446</v>
      </c>
      <c r="B38" s="92" t="s">
        <v>447</v>
      </c>
      <c r="C38" s="167">
        <v>253577.82</v>
      </c>
      <c r="D38" s="171"/>
      <c r="E38" s="171"/>
      <c r="F38" s="167">
        <f t="shared" si="8"/>
        <v>1236451.27</v>
      </c>
      <c r="G38" s="171"/>
      <c r="H38" s="171"/>
      <c r="I38" s="171"/>
      <c r="J38" s="171">
        <f t="shared" si="9"/>
        <v>1236451.27</v>
      </c>
      <c r="K38" s="171">
        <v>1236451.27</v>
      </c>
      <c r="L38" s="171"/>
      <c r="M38" s="167">
        <f t="shared" si="4"/>
        <v>1490029.09</v>
      </c>
      <c r="N38" s="156">
        <f t="shared" si="1"/>
        <v>1490029.09</v>
      </c>
    </row>
    <row r="39" spans="1:14" ht="31.5">
      <c r="A39" s="91" t="s">
        <v>450</v>
      </c>
      <c r="B39" s="92" t="s">
        <v>451</v>
      </c>
      <c r="C39" s="167">
        <v>145924.28</v>
      </c>
      <c r="D39" s="171"/>
      <c r="E39" s="171"/>
      <c r="F39" s="167">
        <f t="shared" si="8"/>
        <v>6485</v>
      </c>
      <c r="G39" s="171"/>
      <c r="H39" s="171"/>
      <c r="I39" s="171"/>
      <c r="J39" s="171">
        <f t="shared" si="9"/>
        <v>6485</v>
      </c>
      <c r="K39" s="171">
        <v>6485</v>
      </c>
      <c r="L39" s="171"/>
      <c r="M39" s="167">
        <f t="shared" si="4"/>
        <v>152409.28</v>
      </c>
      <c r="N39" s="156">
        <f t="shared" si="1"/>
        <v>152409.28</v>
      </c>
    </row>
    <row r="40" spans="1:14" ht="31.5">
      <c r="A40" s="91" t="s">
        <v>454</v>
      </c>
      <c r="B40" s="92" t="s">
        <v>455</v>
      </c>
      <c r="C40" s="167">
        <f>C41</f>
        <v>30118.99</v>
      </c>
      <c r="D40" s="172"/>
      <c r="E40" s="167"/>
      <c r="F40" s="167">
        <f t="shared" si="8"/>
        <v>0</v>
      </c>
      <c r="G40" s="167"/>
      <c r="H40" s="167"/>
      <c r="I40" s="167"/>
      <c r="J40" s="171">
        <f t="shared" si="9"/>
        <v>0</v>
      </c>
      <c r="K40" s="167"/>
      <c r="L40" s="167"/>
      <c r="M40" s="167">
        <f t="shared" si="4"/>
        <v>30118.99</v>
      </c>
      <c r="N40" s="156">
        <f t="shared" si="1"/>
        <v>30118.99</v>
      </c>
    </row>
    <row r="41" spans="1:14" ht="31.5" customHeight="1">
      <c r="A41" s="91"/>
      <c r="B41" s="92" t="s">
        <v>456</v>
      </c>
      <c r="C41" s="167">
        <v>30118.99</v>
      </c>
      <c r="D41" s="171"/>
      <c r="E41" s="171"/>
      <c r="F41" s="167">
        <f t="shared" si="8"/>
        <v>0</v>
      </c>
      <c r="G41" s="171"/>
      <c r="H41" s="171"/>
      <c r="I41" s="171"/>
      <c r="J41" s="171">
        <f t="shared" si="9"/>
        <v>0</v>
      </c>
      <c r="K41" s="171"/>
      <c r="L41" s="171"/>
      <c r="M41" s="167">
        <f t="shared" si="4"/>
        <v>30118.99</v>
      </c>
      <c r="N41" s="156">
        <f t="shared" si="1"/>
        <v>30118.99</v>
      </c>
    </row>
    <row r="42" spans="1:14" ht="46.5" customHeight="1">
      <c r="A42" s="91" t="s">
        <v>457</v>
      </c>
      <c r="B42" s="92" t="s">
        <v>458</v>
      </c>
      <c r="C42" s="167">
        <v>64925.01</v>
      </c>
      <c r="D42" s="171"/>
      <c r="E42" s="171"/>
      <c r="F42" s="167">
        <f t="shared" si="8"/>
        <v>0</v>
      </c>
      <c r="G42" s="171"/>
      <c r="H42" s="171"/>
      <c r="I42" s="171"/>
      <c r="J42" s="171">
        <f t="shared" si="9"/>
        <v>0</v>
      </c>
      <c r="K42" s="171"/>
      <c r="L42" s="171"/>
      <c r="M42" s="167">
        <f t="shared" si="4"/>
        <v>64925.01</v>
      </c>
      <c r="N42" s="156">
        <f t="shared" si="1"/>
        <v>64925.01</v>
      </c>
    </row>
    <row r="43" spans="1:14" ht="31.5">
      <c r="A43" s="91" t="s">
        <v>459</v>
      </c>
      <c r="B43" s="92" t="s">
        <v>460</v>
      </c>
      <c r="C43" s="167">
        <v>7889.87</v>
      </c>
      <c r="D43" s="171"/>
      <c r="E43" s="171"/>
      <c r="F43" s="167">
        <f t="shared" si="8"/>
        <v>0</v>
      </c>
      <c r="G43" s="171"/>
      <c r="H43" s="171"/>
      <c r="I43" s="171"/>
      <c r="J43" s="171">
        <f t="shared" si="9"/>
        <v>0</v>
      </c>
      <c r="K43" s="171"/>
      <c r="L43" s="171"/>
      <c r="M43" s="167">
        <f t="shared" si="4"/>
        <v>7889.87</v>
      </c>
      <c r="N43" s="156">
        <f t="shared" si="1"/>
        <v>7889.87</v>
      </c>
    </row>
    <row r="44" spans="1:14" ht="16.5">
      <c r="A44" s="91" t="s">
        <v>461</v>
      </c>
      <c r="B44" s="92" t="s">
        <v>462</v>
      </c>
      <c r="C44" s="173">
        <f>C45</f>
        <v>5928</v>
      </c>
      <c r="D44" s="173">
        <f aca="true" t="shared" si="10" ref="D44:L44">D45</f>
        <v>0</v>
      </c>
      <c r="E44" s="173">
        <f t="shared" si="10"/>
        <v>0</v>
      </c>
      <c r="F44" s="173">
        <f t="shared" si="10"/>
        <v>15000</v>
      </c>
      <c r="G44" s="173">
        <f t="shared" si="10"/>
        <v>0</v>
      </c>
      <c r="H44" s="173">
        <f t="shared" si="10"/>
        <v>0</v>
      </c>
      <c r="I44" s="173">
        <f t="shared" si="10"/>
        <v>0</v>
      </c>
      <c r="J44" s="172">
        <f t="shared" si="10"/>
        <v>15000</v>
      </c>
      <c r="K44" s="172">
        <f t="shared" si="10"/>
        <v>15000</v>
      </c>
      <c r="L44" s="173">
        <f t="shared" si="10"/>
        <v>0</v>
      </c>
      <c r="M44" s="167">
        <f t="shared" si="4"/>
        <v>20928</v>
      </c>
      <c r="N44" s="156">
        <f t="shared" si="1"/>
        <v>20928</v>
      </c>
    </row>
    <row r="45" spans="1:14" ht="47.25">
      <c r="A45" s="91"/>
      <c r="B45" s="96" t="s">
        <v>463</v>
      </c>
      <c r="C45" s="174">
        <v>5928</v>
      </c>
      <c r="D45" s="171"/>
      <c r="E45" s="171"/>
      <c r="F45" s="167">
        <f t="shared" si="8"/>
        <v>15000</v>
      </c>
      <c r="G45" s="171"/>
      <c r="H45" s="171"/>
      <c r="I45" s="171"/>
      <c r="J45" s="171">
        <f t="shared" si="9"/>
        <v>15000</v>
      </c>
      <c r="K45" s="171">
        <v>15000</v>
      </c>
      <c r="L45" s="171"/>
      <c r="M45" s="167">
        <f t="shared" si="4"/>
        <v>20928</v>
      </c>
      <c r="N45" s="156">
        <f t="shared" si="1"/>
        <v>20928</v>
      </c>
    </row>
    <row r="46" spans="1:14" ht="16.5">
      <c r="A46" s="72" t="s">
        <v>622</v>
      </c>
      <c r="B46" s="177" t="s">
        <v>623</v>
      </c>
      <c r="C46" s="174">
        <f>C47+C48</f>
        <v>12386.9</v>
      </c>
      <c r="D46" s="174">
        <f aca="true" t="shared" si="11" ref="D46:L46">D47+D48</f>
        <v>0</v>
      </c>
      <c r="E46" s="174">
        <f t="shared" si="11"/>
        <v>0</v>
      </c>
      <c r="F46" s="174">
        <f t="shared" si="11"/>
        <v>7500</v>
      </c>
      <c r="G46" s="174">
        <f t="shared" si="11"/>
        <v>0</v>
      </c>
      <c r="H46" s="174">
        <f t="shared" si="11"/>
        <v>0</v>
      </c>
      <c r="I46" s="174">
        <f t="shared" si="11"/>
        <v>0</v>
      </c>
      <c r="J46" s="178">
        <f t="shared" si="11"/>
        <v>7500</v>
      </c>
      <c r="K46" s="178">
        <f t="shared" si="11"/>
        <v>7500</v>
      </c>
      <c r="L46" s="174">
        <f t="shared" si="11"/>
        <v>0</v>
      </c>
      <c r="M46" s="167">
        <f t="shared" si="4"/>
        <v>19886.9</v>
      </c>
      <c r="N46" s="156"/>
    </row>
    <row r="47" spans="1:14" ht="31.5">
      <c r="A47" s="91" t="s">
        <v>536</v>
      </c>
      <c r="B47" s="96" t="s">
        <v>537</v>
      </c>
      <c r="C47" s="178">
        <v>1000</v>
      </c>
      <c r="D47" s="160"/>
      <c r="E47" s="160"/>
      <c r="F47" s="167">
        <f t="shared" si="8"/>
        <v>0</v>
      </c>
      <c r="G47" s="158"/>
      <c r="H47" s="158"/>
      <c r="I47" s="158"/>
      <c r="J47" s="171">
        <f t="shared" si="9"/>
        <v>0</v>
      </c>
      <c r="K47" s="158"/>
      <c r="L47" s="158"/>
      <c r="M47" s="167">
        <f t="shared" si="4"/>
        <v>1000</v>
      </c>
      <c r="N47" s="156">
        <f t="shared" si="1"/>
        <v>1000</v>
      </c>
    </row>
    <row r="48" spans="1:14" ht="47.25">
      <c r="A48" s="91" t="s">
        <v>542</v>
      </c>
      <c r="B48" s="92" t="s">
        <v>543</v>
      </c>
      <c r="C48" s="173">
        <v>11386.9</v>
      </c>
      <c r="D48" s="171"/>
      <c r="E48" s="171"/>
      <c r="F48" s="167">
        <f t="shared" si="8"/>
        <v>7500</v>
      </c>
      <c r="G48" s="171"/>
      <c r="H48" s="171"/>
      <c r="I48" s="171"/>
      <c r="J48" s="171">
        <f t="shared" si="9"/>
        <v>7500</v>
      </c>
      <c r="K48" s="171">
        <v>7500</v>
      </c>
      <c r="L48" s="171"/>
      <c r="M48" s="167">
        <f t="shared" si="4"/>
        <v>18886.9</v>
      </c>
      <c r="N48" s="156">
        <f t="shared" si="1"/>
        <v>18886.9</v>
      </c>
    </row>
    <row r="49" spans="1:14" ht="31.5">
      <c r="A49" s="153" t="s">
        <v>624</v>
      </c>
      <c r="B49" s="179" t="s">
        <v>625</v>
      </c>
      <c r="C49" s="155">
        <f>C50</f>
        <v>59529.95</v>
      </c>
      <c r="D49" s="155">
        <f aca="true" t="shared" si="12" ref="D49:L49">D50</f>
        <v>0</v>
      </c>
      <c r="E49" s="155">
        <f t="shared" si="12"/>
        <v>0</v>
      </c>
      <c r="F49" s="155">
        <f t="shared" si="12"/>
        <v>0</v>
      </c>
      <c r="G49" s="155">
        <f t="shared" si="12"/>
        <v>0</v>
      </c>
      <c r="H49" s="155">
        <f t="shared" si="12"/>
        <v>0</v>
      </c>
      <c r="I49" s="155">
        <f t="shared" si="12"/>
        <v>0</v>
      </c>
      <c r="J49" s="155">
        <f t="shared" si="12"/>
        <v>0</v>
      </c>
      <c r="K49" s="155">
        <f t="shared" si="12"/>
        <v>0</v>
      </c>
      <c r="L49" s="155">
        <f t="shared" si="12"/>
        <v>0</v>
      </c>
      <c r="M49" s="155">
        <f>F49+C49</f>
        <v>59529.95</v>
      </c>
      <c r="N49" s="156">
        <f t="shared" si="1"/>
        <v>59529.95</v>
      </c>
    </row>
    <row r="50" spans="1:14" ht="31.5">
      <c r="A50" s="180" t="s">
        <v>626</v>
      </c>
      <c r="B50" s="181" t="s">
        <v>627</v>
      </c>
      <c r="C50" s="161">
        <f>C51+C52+C53+C56</f>
        <v>59529.95</v>
      </c>
      <c r="D50" s="162"/>
      <c r="E50" s="162"/>
      <c r="F50" s="161"/>
      <c r="G50" s="162"/>
      <c r="H50" s="161"/>
      <c r="I50" s="161"/>
      <c r="J50" s="161"/>
      <c r="K50" s="161"/>
      <c r="L50" s="161"/>
      <c r="M50" s="158">
        <f aca="true" t="shared" si="13" ref="M50:M59">SUM(F50,C50)</f>
        <v>59529.95</v>
      </c>
      <c r="N50" s="156">
        <f t="shared" si="1"/>
        <v>59529.95</v>
      </c>
    </row>
    <row r="51" spans="1:14" ht="63">
      <c r="A51" s="91" t="s">
        <v>628</v>
      </c>
      <c r="B51" s="96" t="s">
        <v>498</v>
      </c>
      <c r="C51" s="161">
        <v>8750.86</v>
      </c>
      <c r="D51" s="162"/>
      <c r="E51" s="162"/>
      <c r="F51" s="161"/>
      <c r="G51" s="161"/>
      <c r="H51" s="161"/>
      <c r="I51" s="161"/>
      <c r="J51" s="162"/>
      <c r="K51" s="162"/>
      <c r="L51" s="162"/>
      <c r="M51" s="158">
        <f t="shared" si="13"/>
        <v>8750.86</v>
      </c>
      <c r="N51" s="156">
        <f t="shared" si="1"/>
        <v>8750.86</v>
      </c>
    </row>
    <row r="52" spans="1:14" ht="31.5">
      <c r="A52" s="91" t="s">
        <v>501</v>
      </c>
      <c r="B52" s="96" t="s">
        <v>502</v>
      </c>
      <c r="C52" s="158">
        <v>27335.1</v>
      </c>
      <c r="D52" s="110"/>
      <c r="E52" s="160"/>
      <c r="F52" s="161"/>
      <c r="G52" s="160"/>
      <c r="H52" s="158"/>
      <c r="I52" s="158"/>
      <c r="J52" s="158"/>
      <c r="K52" s="158"/>
      <c r="L52" s="158"/>
      <c r="M52" s="158">
        <f t="shared" si="13"/>
        <v>27335.1</v>
      </c>
      <c r="N52" s="156">
        <f t="shared" si="1"/>
        <v>27335.1</v>
      </c>
    </row>
    <row r="53" spans="1:14" ht="47.25">
      <c r="A53" s="91" t="s">
        <v>503</v>
      </c>
      <c r="B53" s="96" t="s">
        <v>504</v>
      </c>
      <c r="C53" s="158">
        <f>C54+C55</f>
        <v>19920.49</v>
      </c>
      <c r="D53" s="110"/>
      <c r="E53" s="158"/>
      <c r="F53" s="161"/>
      <c r="G53" s="158"/>
      <c r="H53" s="158"/>
      <c r="I53" s="158"/>
      <c r="J53" s="158"/>
      <c r="K53" s="158"/>
      <c r="L53" s="158"/>
      <c r="M53" s="158">
        <f t="shared" si="13"/>
        <v>19920.49</v>
      </c>
      <c r="N53" s="156">
        <f t="shared" si="1"/>
        <v>19920.49</v>
      </c>
    </row>
    <row r="54" spans="1:14" ht="31.5">
      <c r="A54" s="91" t="s">
        <v>380</v>
      </c>
      <c r="B54" s="96" t="s">
        <v>505</v>
      </c>
      <c r="C54" s="158">
        <v>18732.49</v>
      </c>
      <c r="D54" s="110"/>
      <c r="E54" s="158"/>
      <c r="F54" s="161"/>
      <c r="G54" s="110"/>
      <c r="H54" s="158"/>
      <c r="I54" s="158"/>
      <c r="J54" s="158"/>
      <c r="K54" s="158"/>
      <c r="L54" s="158"/>
      <c r="M54" s="158">
        <f t="shared" si="13"/>
        <v>18732.49</v>
      </c>
      <c r="N54" s="156">
        <f t="shared" si="1"/>
        <v>18732.49</v>
      </c>
    </row>
    <row r="55" spans="1:14" ht="78.75">
      <c r="A55" s="91"/>
      <c r="B55" s="95" t="s">
        <v>506</v>
      </c>
      <c r="C55" s="158">
        <v>1188</v>
      </c>
      <c r="D55" s="110"/>
      <c r="E55" s="158"/>
      <c r="F55" s="161"/>
      <c r="G55" s="110"/>
      <c r="H55" s="158"/>
      <c r="I55" s="158"/>
      <c r="J55" s="158"/>
      <c r="K55" s="158"/>
      <c r="L55" s="158"/>
      <c r="M55" s="158">
        <f t="shared" si="13"/>
        <v>1188</v>
      </c>
      <c r="N55" s="156">
        <f t="shared" si="1"/>
        <v>1188</v>
      </c>
    </row>
    <row r="56" spans="1:14" ht="16.5">
      <c r="A56" s="91" t="s">
        <v>507</v>
      </c>
      <c r="B56" s="96" t="s">
        <v>508</v>
      </c>
      <c r="C56" s="158">
        <f>C57+C58</f>
        <v>3523.5</v>
      </c>
      <c r="D56" s="110"/>
      <c r="E56" s="110"/>
      <c r="F56" s="161"/>
      <c r="G56" s="158"/>
      <c r="H56" s="158"/>
      <c r="I56" s="158"/>
      <c r="J56" s="158"/>
      <c r="K56" s="158"/>
      <c r="L56" s="158"/>
      <c r="M56" s="158">
        <f t="shared" si="13"/>
        <v>3523.5</v>
      </c>
      <c r="N56" s="156">
        <f t="shared" si="1"/>
        <v>3523.5</v>
      </c>
    </row>
    <row r="57" spans="1:14" ht="47.25">
      <c r="A57" s="91"/>
      <c r="B57" s="96" t="s">
        <v>509</v>
      </c>
      <c r="C57" s="158">
        <v>453.5</v>
      </c>
      <c r="D57" s="110"/>
      <c r="E57" s="160"/>
      <c r="F57" s="161"/>
      <c r="G57" s="158"/>
      <c r="H57" s="158"/>
      <c r="I57" s="158"/>
      <c r="J57" s="158"/>
      <c r="K57" s="158"/>
      <c r="L57" s="158"/>
      <c r="M57" s="158">
        <f t="shared" si="13"/>
        <v>453.5</v>
      </c>
      <c r="N57" s="156">
        <f t="shared" si="1"/>
        <v>453.5</v>
      </c>
    </row>
    <row r="58" spans="1:14" ht="78.75">
      <c r="A58" s="91"/>
      <c r="B58" s="96" t="s">
        <v>510</v>
      </c>
      <c r="C58" s="158">
        <v>3070</v>
      </c>
      <c r="D58" s="110"/>
      <c r="E58" s="160"/>
      <c r="F58" s="161"/>
      <c r="G58" s="158"/>
      <c r="H58" s="158"/>
      <c r="I58" s="158"/>
      <c r="J58" s="158"/>
      <c r="K58" s="158"/>
      <c r="L58" s="158"/>
      <c r="M58" s="158">
        <f t="shared" si="13"/>
        <v>3070</v>
      </c>
      <c r="N58" s="156">
        <f t="shared" si="1"/>
        <v>3070</v>
      </c>
    </row>
    <row r="59" spans="1:14" ht="31.5">
      <c r="A59" s="91"/>
      <c r="B59" s="96" t="s">
        <v>505</v>
      </c>
      <c r="C59" s="158">
        <v>2000</v>
      </c>
      <c r="D59" s="110"/>
      <c r="E59" s="160"/>
      <c r="F59" s="161"/>
      <c r="G59" s="158"/>
      <c r="H59" s="158"/>
      <c r="I59" s="158"/>
      <c r="J59" s="158"/>
      <c r="K59" s="158"/>
      <c r="L59" s="158"/>
      <c r="M59" s="158">
        <f t="shared" si="13"/>
        <v>2000</v>
      </c>
      <c r="N59" s="156">
        <f t="shared" si="1"/>
        <v>2000</v>
      </c>
    </row>
    <row r="60" spans="1:14" ht="47.25">
      <c r="A60" s="153" t="s">
        <v>629</v>
      </c>
      <c r="B60" s="179" t="s">
        <v>630</v>
      </c>
      <c r="C60" s="155">
        <f>C61</f>
        <v>296846.42</v>
      </c>
      <c r="D60" s="155">
        <f aca="true" t="shared" si="14" ref="D60:L60">D61</f>
        <v>0</v>
      </c>
      <c r="E60" s="155">
        <f t="shared" si="14"/>
        <v>0</v>
      </c>
      <c r="F60" s="155">
        <f t="shared" si="14"/>
        <v>137724</v>
      </c>
      <c r="G60" s="155">
        <f t="shared" si="14"/>
        <v>0</v>
      </c>
      <c r="H60" s="155">
        <f t="shared" si="14"/>
        <v>0</v>
      </c>
      <c r="I60" s="155">
        <f t="shared" si="14"/>
        <v>0</v>
      </c>
      <c r="J60" s="155">
        <f t="shared" si="14"/>
        <v>137724</v>
      </c>
      <c r="K60" s="155">
        <f t="shared" si="14"/>
        <v>137724</v>
      </c>
      <c r="L60" s="155">
        <f t="shared" si="14"/>
        <v>0</v>
      </c>
      <c r="M60" s="155">
        <f>C60+F60</f>
        <v>434570.42</v>
      </c>
      <c r="N60" s="156">
        <f t="shared" si="1"/>
        <v>434570.42</v>
      </c>
    </row>
    <row r="61" spans="1:14" ht="16.5">
      <c r="A61" s="72" t="s">
        <v>622</v>
      </c>
      <c r="B61" s="177" t="s">
        <v>623</v>
      </c>
      <c r="C61" s="161">
        <f>C62+C63+C64+C65</f>
        <v>296846.42</v>
      </c>
      <c r="D61" s="161">
        <f aca="true" t="shared" si="15" ref="D61:L61">D62+D63+D64+D65</f>
        <v>0</v>
      </c>
      <c r="E61" s="161">
        <f t="shared" si="15"/>
        <v>0</v>
      </c>
      <c r="F61" s="161">
        <f t="shared" si="15"/>
        <v>137724</v>
      </c>
      <c r="G61" s="161">
        <f t="shared" si="15"/>
        <v>0</v>
      </c>
      <c r="H61" s="161">
        <f t="shared" si="15"/>
        <v>0</v>
      </c>
      <c r="I61" s="161">
        <f t="shared" si="15"/>
        <v>0</v>
      </c>
      <c r="J61" s="161">
        <f t="shared" si="15"/>
        <v>137724</v>
      </c>
      <c r="K61" s="161">
        <f t="shared" si="15"/>
        <v>137724</v>
      </c>
      <c r="L61" s="161">
        <f t="shared" si="15"/>
        <v>0</v>
      </c>
      <c r="M61" s="167">
        <f>SUM(F61,C61)</f>
        <v>434570.42</v>
      </c>
      <c r="N61" s="156"/>
    </row>
    <row r="62" spans="1:14" ht="47.25">
      <c r="A62" s="91" t="s">
        <v>538</v>
      </c>
      <c r="B62" s="96" t="s">
        <v>539</v>
      </c>
      <c r="C62" s="158">
        <v>33911.41</v>
      </c>
      <c r="D62" s="171"/>
      <c r="E62" s="171"/>
      <c r="F62" s="158">
        <f>G62+J62</f>
        <v>137724</v>
      </c>
      <c r="G62" s="171"/>
      <c r="H62" s="171"/>
      <c r="I62" s="171"/>
      <c r="J62" s="171">
        <v>137724</v>
      </c>
      <c r="K62" s="171">
        <v>137724</v>
      </c>
      <c r="L62" s="171"/>
      <c r="M62" s="167">
        <f>SUM(F62,C62)</f>
        <v>171635.41</v>
      </c>
      <c r="N62" s="156">
        <f t="shared" si="1"/>
        <v>171635.41</v>
      </c>
    </row>
    <row r="63" spans="1:14" ht="47.25">
      <c r="A63" s="91" t="s">
        <v>540</v>
      </c>
      <c r="B63" s="96" t="s">
        <v>541</v>
      </c>
      <c r="C63" s="158">
        <v>180180.4</v>
      </c>
      <c r="D63" s="171"/>
      <c r="E63" s="171"/>
      <c r="F63" s="158"/>
      <c r="G63" s="171"/>
      <c r="H63" s="171"/>
      <c r="I63" s="171"/>
      <c r="J63" s="171"/>
      <c r="K63" s="171"/>
      <c r="L63" s="171"/>
      <c r="M63" s="167">
        <f>SUM(F63,C63)</f>
        <v>180180.4</v>
      </c>
      <c r="N63" s="156">
        <f t="shared" si="1"/>
        <v>180180.4</v>
      </c>
    </row>
    <row r="64" spans="1:14" ht="63">
      <c r="A64" s="91" t="s">
        <v>544</v>
      </c>
      <c r="B64" s="104" t="s">
        <v>545</v>
      </c>
      <c r="C64" s="158">
        <v>8411.58</v>
      </c>
      <c r="D64" s="171"/>
      <c r="E64" s="171"/>
      <c r="F64" s="158"/>
      <c r="G64" s="171"/>
      <c r="H64" s="171"/>
      <c r="I64" s="171"/>
      <c r="J64" s="171"/>
      <c r="K64" s="171"/>
      <c r="L64" s="171"/>
      <c r="M64" s="167">
        <f>SUM(F64,C64)</f>
        <v>8411.58</v>
      </c>
      <c r="N64" s="156">
        <f t="shared" si="1"/>
        <v>8411.58</v>
      </c>
    </row>
    <row r="65" spans="1:14" ht="31.5">
      <c r="A65" s="91" t="s">
        <v>546</v>
      </c>
      <c r="B65" s="104" t="s">
        <v>547</v>
      </c>
      <c r="C65" s="158">
        <v>74343.03</v>
      </c>
      <c r="D65" s="171"/>
      <c r="E65" s="171"/>
      <c r="F65" s="158"/>
      <c r="G65" s="171"/>
      <c r="H65" s="171"/>
      <c r="I65" s="171"/>
      <c r="J65" s="171"/>
      <c r="K65" s="171"/>
      <c r="L65" s="171"/>
      <c r="M65" s="167">
        <f>SUM(F65,C65)</f>
        <v>74343.03</v>
      </c>
      <c r="N65" s="156">
        <f t="shared" si="1"/>
        <v>74343.03</v>
      </c>
    </row>
    <row r="66" spans="1:14" s="157" customFormat="1" ht="31.5">
      <c r="A66" s="153" t="s">
        <v>631</v>
      </c>
      <c r="B66" s="164" t="s">
        <v>632</v>
      </c>
      <c r="C66" s="155">
        <f>C67+C71+C88+C90</f>
        <v>632910.22</v>
      </c>
      <c r="D66" s="155">
        <f aca="true" t="shared" si="16" ref="D66:L66">D67+D71+D88+D90</f>
        <v>0</v>
      </c>
      <c r="E66" s="155">
        <f t="shared" si="16"/>
        <v>0</v>
      </c>
      <c r="F66" s="155">
        <f t="shared" si="16"/>
        <v>170009.62</v>
      </c>
      <c r="G66" s="155">
        <f t="shared" si="16"/>
        <v>0</v>
      </c>
      <c r="H66" s="155">
        <f t="shared" si="16"/>
        <v>0</v>
      </c>
      <c r="I66" s="155">
        <f t="shared" si="16"/>
        <v>0</v>
      </c>
      <c r="J66" s="155">
        <f t="shared" si="16"/>
        <v>170009.62</v>
      </c>
      <c r="K66" s="155">
        <f t="shared" si="16"/>
        <v>170009.62</v>
      </c>
      <c r="L66" s="155">
        <f t="shared" si="16"/>
        <v>0</v>
      </c>
      <c r="M66" s="155">
        <f>C66+F66</f>
        <v>802919.84</v>
      </c>
      <c r="N66" s="156">
        <f t="shared" si="1"/>
        <v>802919.84</v>
      </c>
    </row>
    <row r="67" spans="1:14" s="157" customFormat="1" ht="16.5">
      <c r="A67" s="72" t="s">
        <v>620</v>
      </c>
      <c r="B67" s="168" t="s">
        <v>621</v>
      </c>
      <c r="C67" s="161">
        <f>C68+C69+C70</f>
        <v>173728.41999999998</v>
      </c>
      <c r="D67" s="161">
        <f aca="true" t="shared" si="17" ref="D67:L67">D68+D69+D70</f>
        <v>0</v>
      </c>
      <c r="E67" s="161">
        <f t="shared" si="17"/>
        <v>0</v>
      </c>
      <c r="F67" s="161">
        <f t="shared" si="17"/>
        <v>117809.62</v>
      </c>
      <c r="G67" s="161">
        <f t="shared" si="17"/>
        <v>0</v>
      </c>
      <c r="H67" s="161">
        <f t="shared" si="17"/>
        <v>0</v>
      </c>
      <c r="I67" s="161">
        <f t="shared" si="17"/>
        <v>0</v>
      </c>
      <c r="J67" s="166">
        <f t="shared" si="17"/>
        <v>117809.62</v>
      </c>
      <c r="K67" s="166">
        <f t="shared" si="17"/>
        <v>117809.62</v>
      </c>
      <c r="L67" s="161">
        <f t="shared" si="17"/>
        <v>0</v>
      </c>
      <c r="M67" s="167">
        <f aca="true" t="shared" si="18" ref="M67:M91">SUM(F67,C67)</f>
        <v>291538.04</v>
      </c>
      <c r="N67" s="156"/>
    </row>
    <row r="68" spans="1:18" s="157" customFormat="1" ht="31.5">
      <c r="A68" s="91" t="s">
        <v>448</v>
      </c>
      <c r="B68" s="95" t="s">
        <v>449</v>
      </c>
      <c r="C68" s="167">
        <v>158443.9</v>
      </c>
      <c r="D68" s="162"/>
      <c r="E68" s="162"/>
      <c r="F68" s="161">
        <f>G68+J68</f>
        <v>117809.62</v>
      </c>
      <c r="G68" s="162"/>
      <c r="H68" s="162"/>
      <c r="I68" s="162"/>
      <c r="J68" s="162">
        <v>117809.62</v>
      </c>
      <c r="K68" s="162">
        <v>117809.62</v>
      </c>
      <c r="L68" s="162"/>
      <c r="M68" s="167">
        <f t="shared" si="18"/>
        <v>276253.52</v>
      </c>
      <c r="N68" s="156">
        <f t="shared" si="1"/>
        <v>276253.52</v>
      </c>
      <c r="O68" s="182"/>
      <c r="P68" s="182"/>
      <c r="Q68" s="182"/>
      <c r="R68" s="182"/>
    </row>
    <row r="69" spans="1:18" s="157" customFormat="1" ht="78.75">
      <c r="A69" s="91" t="s">
        <v>450</v>
      </c>
      <c r="B69" s="95" t="s">
        <v>633</v>
      </c>
      <c r="C69" s="167">
        <v>14782.37</v>
      </c>
      <c r="D69" s="161"/>
      <c r="E69" s="161"/>
      <c r="F69" s="161">
        <f aca="true" t="shared" si="19" ref="F69:F77">G69+J69</f>
        <v>0</v>
      </c>
      <c r="G69" s="161"/>
      <c r="H69" s="161"/>
      <c r="I69" s="161"/>
      <c r="J69" s="161"/>
      <c r="K69" s="161"/>
      <c r="L69" s="161"/>
      <c r="M69" s="167">
        <f t="shared" si="18"/>
        <v>14782.37</v>
      </c>
      <c r="N69" s="156">
        <f t="shared" si="1"/>
        <v>14782.37</v>
      </c>
      <c r="O69" s="182"/>
      <c r="P69" s="182"/>
      <c r="Q69" s="182"/>
      <c r="R69" s="182"/>
    </row>
    <row r="70" spans="1:18" s="157" customFormat="1" ht="63">
      <c r="A70" s="91" t="s">
        <v>452</v>
      </c>
      <c r="B70" s="95" t="s">
        <v>453</v>
      </c>
      <c r="C70" s="167">
        <v>502.15</v>
      </c>
      <c r="D70" s="162"/>
      <c r="E70" s="162"/>
      <c r="F70" s="161">
        <f t="shared" si="19"/>
        <v>0</v>
      </c>
      <c r="G70" s="162"/>
      <c r="H70" s="161"/>
      <c r="I70" s="161"/>
      <c r="J70" s="161"/>
      <c r="K70" s="161"/>
      <c r="L70" s="161"/>
      <c r="M70" s="167">
        <f t="shared" si="18"/>
        <v>502.15</v>
      </c>
      <c r="N70" s="156">
        <f t="shared" si="1"/>
        <v>502.15</v>
      </c>
      <c r="O70" s="182"/>
      <c r="P70" s="182"/>
      <c r="Q70" s="182"/>
      <c r="R70" s="182"/>
    </row>
    <row r="71" spans="1:18" s="157" customFormat="1" ht="16.5">
      <c r="A71" s="72" t="s">
        <v>634</v>
      </c>
      <c r="B71" s="183" t="s">
        <v>635</v>
      </c>
      <c r="C71" s="167">
        <f>C72+C73+C74+C75+C76+C77+C78+C79+C80+C81+C9+C87</f>
        <v>452181.80000000005</v>
      </c>
      <c r="D71" s="167">
        <f aca="true" t="shared" si="20" ref="D71:L71">D72+D73+D74+D75+D76+D77+D78+D79+D80+D81+D87+D89</f>
        <v>0</v>
      </c>
      <c r="E71" s="167">
        <f t="shared" si="20"/>
        <v>0</v>
      </c>
      <c r="F71" s="167">
        <f t="shared" si="20"/>
        <v>3900</v>
      </c>
      <c r="G71" s="167">
        <f t="shared" si="20"/>
        <v>0</v>
      </c>
      <c r="H71" s="167">
        <f t="shared" si="20"/>
        <v>0</v>
      </c>
      <c r="I71" s="167">
        <f t="shared" si="20"/>
        <v>0</v>
      </c>
      <c r="J71" s="167">
        <f t="shared" si="20"/>
        <v>3900</v>
      </c>
      <c r="K71" s="167">
        <f t="shared" si="20"/>
        <v>3900</v>
      </c>
      <c r="L71" s="167">
        <f t="shared" si="20"/>
        <v>0</v>
      </c>
      <c r="M71" s="167">
        <f t="shared" si="18"/>
        <v>456081.80000000005</v>
      </c>
      <c r="N71" s="156"/>
      <c r="O71" s="182"/>
      <c r="P71" s="182"/>
      <c r="Q71" s="182"/>
      <c r="R71" s="182"/>
    </row>
    <row r="72" spans="1:14" ht="16.5">
      <c r="A72" s="91" t="s">
        <v>466</v>
      </c>
      <c r="B72" s="98" t="s">
        <v>467</v>
      </c>
      <c r="C72" s="167">
        <v>130269.43</v>
      </c>
      <c r="D72" s="110"/>
      <c r="E72" s="110"/>
      <c r="F72" s="161">
        <f t="shared" si="19"/>
        <v>0</v>
      </c>
      <c r="G72" s="110"/>
      <c r="H72" s="110"/>
      <c r="I72" s="110"/>
      <c r="J72" s="110"/>
      <c r="K72" s="110"/>
      <c r="L72" s="110"/>
      <c r="M72" s="167">
        <f t="shared" si="18"/>
        <v>130269.43</v>
      </c>
      <c r="N72" s="156">
        <f t="shared" si="1"/>
        <v>130269.43</v>
      </c>
    </row>
    <row r="73" spans="1:14" ht="94.5">
      <c r="A73" s="91" t="s">
        <v>468</v>
      </c>
      <c r="B73" s="95" t="s">
        <v>469</v>
      </c>
      <c r="C73" s="167">
        <v>157878.1</v>
      </c>
      <c r="D73" s="110"/>
      <c r="E73" s="110"/>
      <c r="F73" s="161">
        <f t="shared" si="19"/>
        <v>3900</v>
      </c>
      <c r="G73" s="110"/>
      <c r="H73" s="110"/>
      <c r="I73" s="110"/>
      <c r="J73" s="110">
        <v>3900</v>
      </c>
      <c r="K73" s="110">
        <v>3900</v>
      </c>
      <c r="L73" s="110"/>
      <c r="M73" s="167">
        <f t="shared" si="18"/>
        <v>161778.1</v>
      </c>
      <c r="N73" s="156">
        <f t="shared" si="1"/>
        <v>161778.1</v>
      </c>
    </row>
    <row r="74" spans="1:14" ht="31.5">
      <c r="A74" s="91" t="s">
        <v>470</v>
      </c>
      <c r="B74" s="95" t="s">
        <v>471</v>
      </c>
      <c r="C74" s="167">
        <v>24586.05</v>
      </c>
      <c r="D74" s="171"/>
      <c r="E74" s="171"/>
      <c r="F74" s="161">
        <f t="shared" si="19"/>
        <v>0</v>
      </c>
      <c r="G74" s="171"/>
      <c r="H74" s="171"/>
      <c r="I74" s="171"/>
      <c r="J74" s="171"/>
      <c r="K74" s="171"/>
      <c r="L74" s="171"/>
      <c r="M74" s="167">
        <f t="shared" si="18"/>
        <v>24586.05</v>
      </c>
      <c r="N74" s="156">
        <f t="shared" si="1"/>
        <v>24586.05</v>
      </c>
    </row>
    <row r="75" spans="1:14" ht="31.5">
      <c r="A75" s="91" t="s">
        <v>472</v>
      </c>
      <c r="B75" s="95" t="s">
        <v>473</v>
      </c>
      <c r="C75" s="167">
        <v>47883.95</v>
      </c>
      <c r="D75" s="171"/>
      <c r="E75" s="171"/>
      <c r="F75" s="161">
        <f t="shared" si="19"/>
        <v>0</v>
      </c>
      <c r="G75" s="171"/>
      <c r="H75" s="171"/>
      <c r="I75" s="171"/>
      <c r="J75" s="171"/>
      <c r="K75" s="171"/>
      <c r="L75" s="171"/>
      <c r="M75" s="167">
        <f t="shared" si="18"/>
        <v>47883.95</v>
      </c>
      <c r="N75" s="156">
        <f t="shared" si="1"/>
        <v>47883.95</v>
      </c>
    </row>
    <row r="76" spans="1:14" ht="16.5">
      <c r="A76" s="91" t="s">
        <v>474</v>
      </c>
      <c r="B76" s="95" t="s">
        <v>475</v>
      </c>
      <c r="C76" s="167">
        <v>6664.61</v>
      </c>
      <c r="D76" s="171"/>
      <c r="E76" s="171"/>
      <c r="F76" s="161">
        <f t="shared" si="19"/>
        <v>0</v>
      </c>
      <c r="G76" s="171"/>
      <c r="H76" s="171"/>
      <c r="I76" s="171"/>
      <c r="J76" s="171"/>
      <c r="K76" s="171"/>
      <c r="L76" s="171"/>
      <c r="M76" s="167">
        <f t="shared" si="18"/>
        <v>6664.61</v>
      </c>
      <c r="N76" s="156">
        <f t="shared" si="1"/>
        <v>6664.61</v>
      </c>
    </row>
    <row r="77" spans="1:14" ht="16.5">
      <c r="A77" s="91" t="s">
        <v>476</v>
      </c>
      <c r="B77" s="95" t="s">
        <v>477</v>
      </c>
      <c r="C77" s="167">
        <v>10666.2</v>
      </c>
      <c r="D77" s="160"/>
      <c r="E77" s="160"/>
      <c r="F77" s="161">
        <f t="shared" si="19"/>
        <v>0</v>
      </c>
      <c r="G77" s="110"/>
      <c r="H77" s="110"/>
      <c r="I77" s="110"/>
      <c r="J77" s="110"/>
      <c r="K77" s="110"/>
      <c r="L77" s="110"/>
      <c r="M77" s="167">
        <f t="shared" si="18"/>
        <v>10666.2</v>
      </c>
      <c r="N77" s="156">
        <f t="shared" si="1"/>
        <v>10666.2</v>
      </c>
    </row>
    <row r="78" spans="1:14" ht="94.5">
      <c r="A78" s="91" t="s">
        <v>478</v>
      </c>
      <c r="B78" s="95" t="s">
        <v>479</v>
      </c>
      <c r="C78" s="167">
        <v>8879.57</v>
      </c>
      <c r="D78" s="171"/>
      <c r="E78" s="171"/>
      <c r="F78" s="167"/>
      <c r="G78" s="171"/>
      <c r="H78" s="171"/>
      <c r="I78" s="171"/>
      <c r="J78" s="171"/>
      <c r="K78" s="171"/>
      <c r="L78" s="171"/>
      <c r="M78" s="167">
        <f t="shared" si="18"/>
        <v>8879.57</v>
      </c>
      <c r="N78" s="156">
        <f aca="true" t="shared" si="21" ref="N78:N118">C78+F78</f>
        <v>8879.57</v>
      </c>
    </row>
    <row r="79" spans="1:14" ht="31.5">
      <c r="A79" s="91" t="s">
        <v>480</v>
      </c>
      <c r="B79" s="95" t="s">
        <v>481</v>
      </c>
      <c r="C79" s="167">
        <v>5291.8</v>
      </c>
      <c r="D79" s="171"/>
      <c r="E79" s="171"/>
      <c r="F79" s="167"/>
      <c r="G79" s="171"/>
      <c r="H79" s="171"/>
      <c r="I79" s="171"/>
      <c r="J79" s="171"/>
      <c r="K79" s="171"/>
      <c r="L79" s="171"/>
      <c r="M79" s="167">
        <f t="shared" si="18"/>
        <v>5291.8</v>
      </c>
      <c r="N79" s="156">
        <f t="shared" si="21"/>
        <v>5291.8</v>
      </c>
    </row>
    <row r="80" spans="1:14" ht="20.25" customHeight="1">
      <c r="A80" s="91" t="s">
        <v>482</v>
      </c>
      <c r="B80" s="95" t="s">
        <v>483</v>
      </c>
      <c r="C80" s="167">
        <v>42468.15</v>
      </c>
      <c r="D80" s="171"/>
      <c r="E80" s="171"/>
      <c r="F80" s="167"/>
      <c r="G80" s="171"/>
      <c r="H80" s="171"/>
      <c r="I80" s="171"/>
      <c r="J80" s="171"/>
      <c r="K80" s="171"/>
      <c r="L80" s="171"/>
      <c r="M80" s="167">
        <f t="shared" si="18"/>
        <v>42468.15</v>
      </c>
      <c r="N80" s="156">
        <f t="shared" si="21"/>
        <v>42468.15</v>
      </c>
    </row>
    <row r="81" spans="1:14" ht="24.75" customHeight="1">
      <c r="A81" s="91" t="s">
        <v>484</v>
      </c>
      <c r="B81" s="95" t="s">
        <v>485</v>
      </c>
      <c r="C81" s="173">
        <f>C82+C83+C84+C85+C86</f>
        <v>15322.37</v>
      </c>
      <c r="D81" s="172"/>
      <c r="E81" s="172"/>
      <c r="F81" s="173"/>
      <c r="G81" s="173"/>
      <c r="H81" s="173"/>
      <c r="I81" s="173"/>
      <c r="J81" s="172"/>
      <c r="K81" s="172"/>
      <c r="L81" s="172"/>
      <c r="M81" s="167">
        <f t="shared" si="18"/>
        <v>15322.37</v>
      </c>
      <c r="N81" s="156">
        <f t="shared" si="21"/>
        <v>15322.37</v>
      </c>
    </row>
    <row r="82" spans="1:14" ht="64.5" customHeight="1">
      <c r="A82" s="91"/>
      <c r="B82" s="95" t="s">
        <v>486</v>
      </c>
      <c r="C82" s="173">
        <v>1083.03</v>
      </c>
      <c r="D82" s="172"/>
      <c r="E82" s="172"/>
      <c r="F82" s="173"/>
      <c r="G82" s="173"/>
      <c r="H82" s="173"/>
      <c r="I82" s="173"/>
      <c r="J82" s="172"/>
      <c r="K82" s="172"/>
      <c r="L82" s="172"/>
      <c r="M82" s="167">
        <f t="shared" si="18"/>
        <v>1083.03</v>
      </c>
      <c r="N82" s="156">
        <f t="shared" si="21"/>
        <v>1083.03</v>
      </c>
    </row>
    <row r="83" spans="1:14" ht="33.75" customHeight="1">
      <c r="A83" s="91"/>
      <c r="B83" s="95" t="s">
        <v>487</v>
      </c>
      <c r="C83" s="173">
        <v>4041.39</v>
      </c>
      <c r="D83" s="172"/>
      <c r="E83" s="172"/>
      <c r="F83" s="173"/>
      <c r="G83" s="173"/>
      <c r="H83" s="173"/>
      <c r="I83" s="173"/>
      <c r="J83" s="172"/>
      <c r="K83" s="172"/>
      <c r="L83" s="172"/>
      <c r="M83" s="167">
        <f t="shared" si="18"/>
        <v>4041.39</v>
      </c>
      <c r="N83" s="156">
        <f t="shared" si="21"/>
        <v>4041.39</v>
      </c>
    </row>
    <row r="84" spans="1:14" ht="50.25" customHeight="1">
      <c r="A84" s="91"/>
      <c r="B84" s="95" t="s">
        <v>488</v>
      </c>
      <c r="C84" s="173">
        <v>2607</v>
      </c>
      <c r="D84" s="172"/>
      <c r="E84" s="172"/>
      <c r="F84" s="173"/>
      <c r="G84" s="173"/>
      <c r="H84" s="173"/>
      <c r="I84" s="173"/>
      <c r="J84" s="172"/>
      <c r="K84" s="172"/>
      <c r="L84" s="172"/>
      <c r="M84" s="167">
        <f t="shared" si="18"/>
        <v>2607</v>
      </c>
      <c r="N84" s="156">
        <f t="shared" si="21"/>
        <v>2607</v>
      </c>
    </row>
    <row r="85" spans="1:14" ht="32.25" customHeight="1">
      <c r="A85" s="91"/>
      <c r="B85" s="95" t="s">
        <v>489</v>
      </c>
      <c r="C85" s="173">
        <v>5111.3</v>
      </c>
      <c r="D85" s="172"/>
      <c r="E85" s="172"/>
      <c r="F85" s="173"/>
      <c r="G85" s="173"/>
      <c r="H85" s="173"/>
      <c r="I85" s="173"/>
      <c r="J85" s="172"/>
      <c r="K85" s="172"/>
      <c r="L85" s="172"/>
      <c r="M85" s="167">
        <f t="shared" si="18"/>
        <v>5111.3</v>
      </c>
      <c r="N85" s="156">
        <f t="shared" si="21"/>
        <v>5111.3</v>
      </c>
    </row>
    <row r="86" spans="1:14" ht="61.5" customHeight="1">
      <c r="A86" s="91"/>
      <c r="B86" s="95" t="s">
        <v>490</v>
      </c>
      <c r="C86" s="173">
        <v>2479.65</v>
      </c>
      <c r="D86" s="172"/>
      <c r="E86" s="172"/>
      <c r="F86" s="173"/>
      <c r="G86" s="173"/>
      <c r="H86" s="173"/>
      <c r="I86" s="173"/>
      <c r="J86" s="172"/>
      <c r="K86" s="172"/>
      <c r="L86" s="172"/>
      <c r="M86" s="167">
        <f t="shared" si="18"/>
        <v>2479.65</v>
      </c>
      <c r="N86" s="156">
        <f t="shared" si="21"/>
        <v>2479.65</v>
      </c>
    </row>
    <row r="87" spans="1:14" ht="95.25" customHeight="1">
      <c r="A87" s="91" t="s">
        <v>491</v>
      </c>
      <c r="B87" s="95" t="s">
        <v>492</v>
      </c>
      <c r="C87" s="167">
        <v>2271.57</v>
      </c>
      <c r="D87" s="171"/>
      <c r="E87" s="171"/>
      <c r="F87" s="167"/>
      <c r="G87" s="171"/>
      <c r="H87" s="171"/>
      <c r="I87" s="171"/>
      <c r="J87" s="171"/>
      <c r="K87" s="171"/>
      <c r="L87" s="171"/>
      <c r="M87" s="167">
        <f t="shared" si="18"/>
        <v>2271.57</v>
      </c>
      <c r="N87" s="156">
        <f t="shared" si="21"/>
        <v>2271.57</v>
      </c>
    </row>
    <row r="88" spans="1:14" ht="16.5">
      <c r="A88" s="72" t="s">
        <v>636</v>
      </c>
      <c r="B88" s="177" t="s">
        <v>637</v>
      </c>
      <c r="C88" s="167">
        <f>C89</f>
        <v>7000</v>
      </c>
      <c r="D88" s="167">
        <f aca="true" t="shared" si="22" ref="D88:L88">D89</f>
        <v>0</v>
      </c>
      <c r="E88" s="167">
        <f t="shared" si="22"/>
        <v>0</v>
      </c>
      <c r="F88" s="167">
        <f t="shared" si="22"/>
        <v>0</v>
      </c>
      <c r="G88" s="167">
        <f t="shared" si="22"/>
        <v>0</v>
      </c>
      <c r="H88" s="167">
        <f t="shared" si="22"/>
        <v>0</v>
      </c>
      <c r="I88" s="167">
        <f t="shared" si="22"/>
        <v>0</v>
      </c>
      <c r="J88" s="167">
        <f t="shared" si="22"/>
        <v>0</v>
      </c>
      <c r="K88" s="167">
        <f t="shared" si="22"/>
        <v>0</v>
      </c>
      <c r="L88" s="167">
        <f t="shared" si="22"/>
        <v>0</v>
      </c>
      <c r="M88" s="167">
        <f t="shared" si="18"/>
        <v>7000</v>
      </c>
      <c r="N88" s="156"/>
    </row>
    <row r="89" spans="1:30" ht="16.5">
      <c r="A89" s="91" t="s">
        <v>520</v>
      </c>
      <c r="B89" s="95" t="s">
        <v>638</v>
      </c>
      <c r="C89" s="167">
        <v>7000</v>
      </c>
      <c r="D89" s="171"/>
      <c r="E89" s="171"/>
      <c r="F89" s="167"/>
      <c r="G89" s="171"/>
      <c r="H89" s="171"/>
      <c r="I89" s="171"/>
      <c r="J89" s="171"/>
      <c r="K89" s="171"/>
      <c r="L89" s="171"/>
      <c r="M89" s="167">
        <f t="shared" si="18"/>
        <v>7000</v>
      </c>
      <c r="N89" s="156">
        <f t="shared" si="21"/>
        <v>7000</v>
      </c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</row>
    <row r="90" spans="1:30" ht="47.25">
      <c r="A90" s="72" t="s">
        <v>639</v>
      </c>
      <c r="B90" s="185" t="s">
        <v>640</v>
      </c>
      <c r="C90" s="167">
        <f>C91</f>
        <v>0</v>
      </c>
      <c r="D90" s="167">
        <f aca="true" t="shared" si="23" ref="D90:L90">D91</f>
        <v>0</v>
      </c>
      <c r="E90" s="167">
        <f t="shared" si="23"/>
        <v>0</v>
      </c>
      <c r="F90" s="167">
        <f t="shared" si="23"/>
        <v>48300</v>
      </c>
      <c r="G90" s="167">
        <f t="shared" si="23"/>
        <v>0</v>
      </c>
      <c r="H90" s="167">
        <f t="shared" si="23"/>
        <v>0</v>
      </c>
      <c r="I90" s="167">
        <f t="shared" si="23"/>
        <v>0</v>
      </c>
      <c r="J90" s="167">
        <f t="shared" si="23"/>
        <v>48300</v>
      </c>
      <c r="K90" s="167">
        <f t="shared" si="23"/>
        <v>48300</v>
      </c>
      <c r="L90" s="167">
        <f t="shared" si="23"/>
        <v>0</v>
      </c>
      <c r="M90" s="167">
        <f t="shared" si="18"/>
        <v>48300</v>
      </c>
      <c r="N90" s="156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</row>
    <row r="91" spans="1:30" ht="50.25" customHeight="1">
      <c r="A91" s="91" t="s">
        <v>571</v>
      </c>
      <c r="B91" s="95" t="s">
        <v>572</v>
      </c>
      <c r="C91" s="167"/>
      <c r="D91" s="171"/>
      <c r="E91" s="171"/>
      <c r="F91" s="167">
        <f>G91+J91</f>
        <v>48300</v>
      </c>
      <c r="G91" s="171"/>
      <c r="H91" s="171"/>
      <c r="I91" s="171"/>
      <c r="J91" s="171">
        <v>48300</v>
      </c>
      <c r="K91" s="171">
        <v>48300</v>
      </c>
      <c r="L91" s="171"/>
      <c r="M91" s="167">
        <f t="shared" si="18"/>
        <v>48300</v>
      </c>
      <c r="N91" s="156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</row>
    <row r="92" spans="1:30" s="157" customFormat="1" ht="47.25">
      <c r="A92" s="153" t="s">
        <v>641</v>
      </c>
      <c r="B92" s="164" t="s">
        <v>642</v>
      </c>
      <c r="C92" s="155">
        <f>C93</f>
        <v>2780524.4899999998</v>
      </c>
      <c r="D92" s="155">
        <f aca="true" t="shared" si="24" ref="D92:L92">D93</f>
        <v>526700</v>
      </c>
      <c r="E92" s="155">
        <f t="shared" si="24"/>
        <v>178000</v>
      </c>
      <c r="F92" s="155">
        <f t="shared" si="24"/>
        <v>0</v>
      </c>
      <c r="G92" s="155">
        <f t="shared" si="24"/>
        <v>0</v>
      </c>
      <c r="H92" s="155">
        <f t="shared" si="24"/>
        <v>0</v>
      </c>
      <c r="I92" s="155">
        <f t="shared" si="24"/>
        <v>0</v>
      </c>
      <c r="J92" s="155">
        <f t="shared" si="24"/>
        <v>0</v>
      </c>
      <c r="K92" s="155">
        <f t="shared" si="24"/>
        <v>0</v>
      </c>
      <c r="L92" s="155">
        <f t="shared" si="24"/>
        <v>0</v>
      </c>
      <c r="M92" s="155">
        <f>C92+F92</f>
        <v>2780524.4899999998</v>
      </c>
      <c r="N92" s="156">
        <f t="shared" si="21"/>
        <v>2780524.4899999998</v>
      </c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</row>
    <row r="93" spans="1:30" s="157" customFormat="1" ht="31.5">
      <c r="A93" s="180" t="s">
        <v>626</v>
      </c>
      <c r="B93" s="181" t="s">
        <v>627</v>
      </c>
      <c r="C93" s="161">
        <f>C94+C95+C96+C97+C98</f>
        <v>2780524.4899999998</v>
      </c>
      <c r="D93" s="161">
        <f>D94+D95+D96+D97+D98</f>
        <v>526700</v>
      </c>
      <c r="E93" s="161">
        <f aca="true" t="shared" si="25" ref="E93:L93">E94+E95+E96+E97+E98</f>
        <v>178000</v>
      </c>
      <c r="F93" s="161">
        <f t="shared" si="25"/>
        <v>0</v>
      </c>
      <c r="G93" s="161">
        <f t="shared" si="25"/>
        <v>0</v>
      </c>
      <c r="H93" s="161">
        <f t="shared" si="25"/>
        <v>0</v>
      </c>
      <c r="I93" s="161">
        <f t="shared" si="25"/>
        <v>0</v>
      </c>
      <c r="J93" s="161">
        <f t="shared" si="25"/>
        <v>0</v>
      </c>
      <c r="K93" s="161">
        <f t="shared" si="25"/>
        <v>0</v>
      </c>
      <c r="L93" s="161">
        <f t="shared" si="25"/>
        <v>0</v>
      </c>
      <c r="M93" s="167">
        <f aca="true" t="shared" si="26" ref="M93:M98">SUM(F93,C93)</f>
        <v>2780524.4899999998</v>
      </c>
      <c r="N93" s="15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</row>
    <row r="94" spans="1:30" ht="31.5">
      <c r="A94" s="91" t="s">
        <v>495</v>
      </c>
      <c r="B94" s="95" t="s">
        <v>496</v>
      </c>
      <c r="C94" s="158">
        <v>29600.86</v>
      </c>
      <c r="D94" s="160"/>
      <c r="E94" s="160"/>
      <c r="F94" s="123"/>
      <c r="G94" s="160"/>
      <c r="H94" s="160"/>
      <c r="I94" s="160"/>
      <c r="J94" s="160"/>
      <c r="K94" s="160"/>
      <c r="L94" s="158"/>
      <c r="M94" s="167">
        <f t="shared" si="26"/>
        <v>29600.86</v>
      </c>
      <c r="N94" s="156">
        <f t="shared" si="21"/>
        <v>29600.86</v>
      </c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</row>
    <row r="95" spans="1:30" ht="47.25">
      <c r="A95" s="91" t="s">
        <v>499</v>
      </c>
      <c r="B95" s="101" t="s">
        <v>500</v>
      </c>
      <c r="C95" s="158">
        <v>371105.44</v>
      </c>
      <c r="D95" s="160"/>
      <c r="E95" s="160"/>
      <c r="F95" s="123"/>
      <c r="G95" s="160"/>
      <c r="H95" s="160"/>
      <c r="I95" s="160"/>
      <c r="J95" s="160"/>
      <c r="K95" s="160"/>
      <c r="L95" s="110"/>
      <c r="M95" s="167">
        <f t="shared" si="26"/>
        <v>371105.44</v>
      </c>
      <c r="N95" s="156">
        <f t="shared" si="21"/>
        <v>371105.44</v>
      </c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</row>
    <row r="96" spans="1:30" ht="47.25">
      <c r="A96" s="91" t="s">
        <v>511</v>
      </c>
      <c r="B96" s="102" t="s">
        <v>512</v>
      </c>
      <c r="C96" s="158">
        <f>2320800+4594.8</f>
        <v>2325394.8</v>
      </c>
      <c r="D96" s="160">
        <v>526700</v>
      </c>
      <c r="E96" s="160">
        <v>178000</v>
      </c>
      <c r="F96" s="123"/>
      <c r="G96" s="160"/>
      <c r="H96" s="160"/>
      <c r="I96" s="160"/>
      <c r="J96" s="160"/>
      <c r="K96" s="160"/>
      <c r="L96" s="110"/>
      <c r="M96" s="167">
        <f t="shared" si="26"/>
        <v>2325394.8</v>
      </c>
      <c r="N96" s="156">
        <f t="shared" si="21"/>
        <v>2325394.8</v>
      </c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</row>
    <row r="97" spans="1:30" ht="33" customHeight="1">
      <c r="A97" s="91" t="s">
        <v>513</v>
      </c>
      <c r="B97" s="102" t="s">
        <v>514</v>
      </c>
      <c r="C97" s="158">
        <v>49039.39</v>
      </c>
      <c r="D97" s="160"/>
      <c r="E97" s="160"/>
      <c r="F97" s="123"/>
      <c r="G97" s="158"/>
      <c r="H97" s="158"/>
      <c r="I97" s="158"/>
      <c r="J97" s="110"/>
      <c r="K97" s="110"/>
      <c r="L97" s="110"/>
      <c r="M97" s="167">
        <f t="shared" si="26"/>
        <v>49039.39</v>
      </c>
      <c r="N97" s="156">
        <f t="shared" si="21"/>
        <v>49039.39</v>
      </c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</row>
    <row r="98" spans="1:30" ht="16.5">
      <c r="A98" s="91" t="s">
        <v>515</v>
      </c>
      <c r="B98" s="103" t="s">
        <v>516</v>
      </c>
      <c r="C98" s="158">
        <v>5384</v>
      </c>
      <c r="D98" s="110"/>
      <c r="E98" s="110"/>
      <c r="F98" s="123"/>
      <c r="G98" s="158"/>
      <c r="H98" s="158"/>
      <c r="I98" s="158"/>
      <c r="J98" s="158"/>
      <c r="K98" s="158"/>
      <c r="L98" s="158"/>
      <c r="M98" s="167">
        <f t="shared" si="26"/>
        <v>5384</v>
      </c>
      <c r="N98" s="156">
        <f t="shared" si="21"/>
        <v>5384</v>
      </c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</row>
    <row r="99" spans="1:14" s="157" customFormat="1" ht="31.5">
      <c r="A99" s="153" t="s">
        <v>643</v>
      </c>
      <c r="B99" s="179" t="s">
        <v>644</v>
      </c>
      <c r="C99" s="155">
        <f>C101</f>
        <v>25895.75</v>
      </c>
      <c r="D99" s="155">
        <f aca="true" t="shared" si="27" ref="D99:L99">D101</f>
        <v>0</v>
      </c>
      <c r="E99" s="155">
        <f t="shared" si="27"/>
        <v>0</v>
      </c>
      <c r="F99" s="155">
        <f t="shared" si="27"/>
        <v>0</v>
      </c>
      <c r="G99" s="155">
        <f t="shared" si="27"/>
        <v>0</v>
      </c>
      <c r="H99" s="155">
        <f t="shared" si="27"/>
        <v>0</v>
      </c>
      <c r="I99" s="155">
        <f t="shared" si="27"/>
        <v>0</v>
      </c>
      <c r="J99" s="155">
        <f t="shared" si="27"/>
        <v>0</v>
      </c>
      <c r="K99" s="155">
        <f t="shared" si="27"/>
        <v>0</v>
      </c>
      <c r="L99" s="155">
        <f t="shared" si="27"/>
        <v>0</v>
      </c>
      <c r="M99" s="155">
        <f>C99+F99</f>
        <v>25895.75</v>
      </c>
      <c r="N99" s="156">
        <f t="shared" si="21"/>
        <v>25895.75</v>
      </c>
    </row>
    <row r="100" spans="1:14" s="157" customFormat="1" ht="31.5">
      <c r="A100" s="180" t="s">
        <v>626</v>
      </c>
      <c r="B100" s="181" t="s">
        <v>627</v>
      </c>
      <c r="C100" s="161">
        <f>C101</f>
        <v>25895.75</v>
      </c>
      <c r="D100" s="162"/>
      <c r="E100" s="162"/>
      <c r="F100" s="161">
        <f aca="true" t="shared" si="28" ref="F100:L100">F101</f>
        <v>0</v>
      </c>
      <c r="G100" s="161">
        <f t="shared" si="28"/>
        <v>0</v>
      </c>
      <c r="H100" s="161">
        <f t="shared" si="28"/>
        <v>0</v>
      </c>
      <c r="I100" s="161">
        <f t="shared" si="28"/>
        <v>0</v>
      </c>
      <c r="J100" s="161">
        <f t="shared" si="28"/>
        <v>0</v>
      </c>
      <c r="K100" s="161">
        <f t="shared" si="28"/>
        <v>0</v>
      </c>
      <c r="L100" s="161">
        <f t="shared" si="28"/>
        <v>0</v>
      </c>
      <c r="M100" s="158">
        <f>SUM(F100,C100)</f>
        <v>25895.75</v>
      </c>
      <c r="N100" s="156">
        <f t="shared" si="21"/>
        <v>25895.75</v>
      </c>
    </row>
    <row r="101" spans="1:14" s="157" customFormat="1" ht="63">
      <c r="A101" s="91" t="s">
        <v>497</v>
      </c>
      <c r="B101" s="96" t="s">
        <v>498</v>
      </c>
      <c r="C101" s="158">
        <v>25895.75</v>
      </c>
      <c r="D101" s="110"/>
      <c r="E101" s="110"/>
      <c r="F101" s="158"/>
      <c r="G101" s="110"/>
      <c r="H101" s="110"/>
      <c r="I101" s="110"/>
      <c r="J101" s="110"/>
      <c r="K101" s="110"/>
      <c r="L101" s="110"/>
      <c r="M101" s="158">
        <f>SUM(F101,C101)</f>
        <v>25895.75</v>
      </c>
      <c r="N101" s="156">
        <f t="shared" si="21"/>
        <v>25895.75</v>
      </c>
    </row>
    <row r="102" spans="1:14" s="157" customFormat="1" ht="31.5">
      <c r="A102" s="153" t="s">
        <v>645</v>
      </c>
      <c r="B102" s="179" t="s">
        <v>646</v>
      </c>
      <c r="C102" s="155">
        <f>C103+C110</f>
        <v>526781.3700000001</v>
      </c>
      <c r="D102" s="155">
        <f aca="true" t="shared" si="29" ref="D102:L102">D103+D110</f>
        <v>0</v>
      </c>
      <c r="E102" s="155">
        <f t="shared" si="29"/>
        <v>0</v>
      </c>
      <c r="F102" s="155">
        <f t="shared" si="29"/>
        <v>161674.91999999998</v>
      </c>
      <c r="G102" s="155">
        <f t="shared" si="29"/>
        <v>0</v>
      </c>
      <c r="H102" s="155">
        <f t="shared" si="29"/>
        <v>0</v>
      </c>
      <c r="I102" s="155">
        <f t="shared" si="29"/>
        <v>0</v>
      </c>
      <c r="J102" s="155">
        <f t="shared" si="29"/>
        <v>161674.91999999998</v>
      </c>
      <c r="K102" s="155">
        <f t="shared" si="29"/>
        <v>161674.91999999998</v>
      </c>
      <c r="L102" s="155">
        <f t="shared" si="29"/>
        <v>0</v>
      </c>
      <c r="M102" s="155">
        <f>C102+F102</f>
        <v>688456.29</v>
      </c>
      <c r="N102" s="156">
        <f t="shared" si="21"/>
        <v>688456.29</v>
      </c>
    </row>
    <row r="103" spans="1:14" s="157" customFormat="1" ht="16.5">
      <c r="A103" s="72" t="s">
        <v>636</v>
      </c>
      <c r="B103" s="177" t="s">
        <v>637</v>
      </c>
      <c r="C103" s="161">
        <f>C104+C105+C106+C107+C108+C109</f>
        <v>506781.37000000005</v>
      </c>
      <c r="D103" s="161">
        <f aca="true" t="shared" si="30" ref="D103:L103">D104+D105+D106+D107+D108+D109</f>
        <v>0</v>
      </c>
      <c r="E103" s="161">
        <f t="shared" si="30"/>
        <v>0</v>
      </c>
      <c r="F103" s="161">
        <f t="shared" si="30"/>
        <v>161674.91999999998</v>
      </c>
      <c r="G103" s="161">
        <f t="shared" si="30"/>
        <v>0</v>
      </c>
      <c r="H103" s="161">
        <f t="shared" si="30"/>
        <v>0</v>
      </c>
      <c r="I103" s="161">
        <f t="shared" si="30"/>
        <v>0</v>
      </c>
      <c r="J103" s="161">
        <f t="shared" si="30"/>
        <v>161674.91999999998</v>
      </c>
      <c r="K103" s="161">
        <f t="shared" si="30"/>
        <v>161674.91999999998</v>
      </c>
      <c r="L103" s="161">
        <f t="shared" si="30"/>
        <v>0</v>
      </c>
      <c r="M103" s="158">
        <f aca="true" t="shared" si="31" ref="M103:M130">SUM(F103,C103)</f>
        <v>668456.29</v>
      </c>
      <c r="N103" s="156"/>
    </row>
    <row r="104" spans="1:14" ht="16.5">
      <c r="A104" s="91" t="s">
        <v>518</v>
      </c>
      <c r="B104" s="96" t="s">
        <v>519</v>
      </c>
      <c r="C104" s="158"/>
      <c r="D104" s="160"/>
      <c r="E104" s="160"/>
      <c r="F104" s="158">
        <f aca="true" t="shared" si="32" ref="F104:F109">G104+J104</f>
        <v>140000</v>
      </c>
      <c r="G104" s="160"/>
      <c r="H104" s="160"/>
      <c r="I104" s="160"/>
      <c r="J104" s="160">
        <v>140000</v>
      </c>
      <c r="K104" s="160">
        <v>140000</v>
      </c>
      <c r="L104" s="160"/>
      <c r="M104" s="158">
        <f t="shared" si="31"/>
        <v>140000</v>
      </c>
      <c r="N104" s="156">
        <f t="shared" si="21"/>
        <v>140000</v>
      </c>
    </row>
    <row r="105" spans="1:14" ht="16.5">
      <c r="A105" s="91" t="s">
        <v>520</v>
      </c>
      <c r="B105" s="96" t="s">
        <v>521</v>
      </c>
      <c r="C105" s="158">
        <v>202619.4</v>
      </c>
      <c r="D105" s="171"/>
      <c r="E105" s="171"/>
      <c r="F105" s="158">
        <f t="shared" si="32"/>
        <v>21674.92</v>
      </c>
      <c r="G105" s="171"/>
      <c r="H105" s="171"/>
      <c r="I105" s="171"/>
      <c r="J105" s="171">
        <v>21674.92</v>
      </c>
      <c r="K105" s="172">
        <v>21674.92</v>
      </c>
      <c r="L105" s="171"/>
      <c r="M105" s="167">
        <f t="shared" si="31"/>
        <v>224294.32</v>
      </c>
      <c r="N105" s="156">
        <f>C105+F105</f>
        <v>224294.32</v>
      </c>
    </row>
    <row r="106" spans="1:14" ht="16.5">
      <c r="A106" s="91" t="s">
        <v>522</v>
      </c>
      <c r="B106" s="96" t="s">
        <v>523</v>
      </c>
      <c r="C106" s="158">
        <v>212875.14</v>
      </c>
      <c r="D106" s="171"/>
      <c r="E106" s="171"/>
      <c r="F106" s="158">
        <f t="shared" si="32"/>
        <v>0</v>
      </c>
      <c r="G106" s="171"/>
      <c r="H106" s="171"/>
      <c r="I106" s="171"/>
      <c r="J106" s="171"/>
      <c r="K106" s="187"/>
      <c r="L106" s="171"/>
      <c r="M106" s="167">
        <f t="shared" si="31"/>
        <v>212875.14</v>
      </c>
      <c r="N106" s="156">
        <f>C106+F106</f>
        <v>212875.14</v>
      </c>
    </row>
    <row r="107" spans="1:14" ht="16.5">
      <c r="A107" s="91" t="s">
        <v>524</v>
      </c>
      <c r="B107" s="96" t="s">
        <v>525</v>
      </c>
      <c r="C107" s="158">
        <v>39627.21</v>
      </c>
      <c r="D107" s="171"/>
      <c r="E107" s="171"/>
      <c r="F107" s="158">
        <f t="shared" si="32"/>
        <v>0</v>
      </c>
      <c r="G107" s="171"/>
      <c r="H107" s="171"/>
      <c r="I107" s="171"/>
      <c r="J107" s="171"/>
      <c r="K107" s="171"/>
      <c r="L107" s="171"/>
      <c r="M107" s="167">
        <f t="shared" si="31"/>
        <v>39627.21</v>
      </c>
      <c r="N107" s="156">
        <f>C107+F107</f>
        <v>39627.21</v>
      </c>
    </row>
    <row r="108" spans="1:14" ht="33" customHeight="1">
      <c r="A108" s="91" t="s">
        <v>526</v>
      </c>
      <c r="B108" s="96" t="s">
        <v>527</v>
      </c>
      <c r="C108" s="158">
        <v>41243.48</v>
      </c>
      <c r="D108" s="171"/>
      <c r="E108" s="171"/>
      <c r="F108" s="158">
        <f t="shared" si="32"/>
        <v>0</v>
      </c>
      <c r="G108" s="171"/>
      <c r="H108" s="171"/>
      <c r="I108" s="171"/>
      <c r="J108" s="171"/>
      <c r="K108" s="171"/>
      <c r="L108" s="171"/>
      <c r="M108" s="167">
        <f t="shared" si="31"/>
        <v>41243.48</v>
      </c>
      <c r="N108" s="156">
        <f>C108+F108</f>
        <v>41243.48</v>
      </c>
    </row>
    <row r="109" spans="1:14" ht="31.5">
      <c r="A109" s="91" t="s">
        <v>528</v>
      </c>
      <c r="B109" s="104" t="s">
        <v>529</v>
      </c>
      <c r="C109" s="173">
        <v>10416.14</v>
      </c>
      <c r="D109" s="172"/>
      <c r="E109" s="172"/>
      <c r="F109" s="158">
        <f t="shared" si="32"/>
        <v>0</v>
      </c>
      <c r="G109" s="173"/>
      <c r="H109" s="173"/>
      <c r="I109" s="173"/>
      <c r="J109" s="173"/>
      <c r="K109" s="173"/>
      <c r="L109" s="173"/>
      <c r="M109" s="167">
        <f t="shared" si="31"/>
        <v>10416.14</v>
      </c>
      <c r="N109" s="156">
        <f>C109+F109</f>
        <v>10416.14</v>
      </c>
    </row>
    <row r="110" spans="1:14" ht="31.5">
      <c r="A110" s="72" t="s">
        <v>582</v>
      </c>
      <c r="B110" s="177" t="s">
        <v>583</v>
      </c>
      <c r="C110" s="173">
        <f>C111</f>
        <v>20000</v>
      </c>
      <c r="D110" s="172"/>
      <c r="E110" s="172"/>
      <c r="F110" s="158"/>
      <c r="G110" s="173"/>
      <c r="H110" s="173"/>
      <c r="I110" s="173"/>
      <c r="J110" s="173"/>
      <c r="K110" s="173"/>
      <c r="L110" s="173"/>
      <c r="M110" s="167">
        <f t="shared" si="31"/>
        <v>20000</v>
      </c>
      <c r="N110" s="156"/>
    </row>
    <row r="111" spans="1:14" ht="16.5">
      <c r="A111" s="115" t="s">
        <v>584</v>
      </c>
      <c r="B111" s="116" t="s">
        <v>585</v>
      </c>
      <c r="C111" s="173">
        <f>C112</f>
        <v>20000</v>
      </c>
      <c r="D111" s="172"/>
      <c r="E111" s="172"/>
      <c r="F111" s="158"/>
      <c r="G111" s="173"/>
      <c r="H111" s="173"/>
      <c r="I111" s="173"/>
      <c r="J111" s="173"/>
      <c r="K111" s="173"/>
      <c r="L111" s="173"/>
      <c r="M111" s="167">
        <f t="shared" si="31"/>
        <v>20000</v>
      </c>
      <c r="N111" s="156"/>
    </row>
    <row r="112" spans="1:14" ht="47.25">
      <c r="A112" s="91"/>
      <c r="B112" s="96" t="s">
        <v>589</v>
      </c>
      <c r="C112" s="173">
        <v>20000</v>
      </c>
      <c r="D112" s="172"/>
      <c r="E112" s="172"/>
      <c r="F112" s="158"/>
      <c r="G112" s="173"/>
      <c r="H112" s="173"/>
      <c r="I112" s="173"/>
      <c r="J112" s="173"/>
      <c r="K112" s="173"/>
      <c r="L112" s="173"/>
      <c r="M112" s="167">
        <f t="shared" si="31"/>
        <v>20000</v>
      </c>
      <c r="N112" s="156"/>
    </row>
    <row r="113" spans="1:14" s="190" customFormat="1" ht="47.25">
      <c r="A113" s="153" t="s">
        <v>647</v>
      </c>
      <c r="B113" s="154" t="s">
        <v>648</v>
      </c>
      <c r="C113" s="188">
        <f>C115+C120+C125+C126+C127</f>
        <v>0</v>
      </c>
      <c r="D113" s="188">
        <f>D115+D120+D125+D126+D127</f>
        <v>0</v>
      </c>
      <c r="E113" s="188">
        <f>E115+E120+E125+E126+E127</f>
        <v>0</v>
      </c>
      <c r="F113" s="188">
        <f>F115+F120+F125+F126+F127</f>
        <v>53544345.5</v>
      </c>
      <c r="G113" s="188">
        <f aca="true" t="shared" si="33" ref="G113:L113">G114+G119+G124</f>
        <v>23072841.259999998</v>
      </c>
      <c r="H113" s="188">
        <f t="shared" si="33"/>
        <v>0</v>
      </c>
      <c r="I113" s="188">
        <f t="shared" si="33"/>
        <v>0</v>
      </c>
      <c r="J113" s="188">
        <f t="shared" si="33"/>
        <v>30471504.240000002</v>
      </c>
      <c r="K113" s="188">
        <f t="shared" si="33"/>
        <v>14126080.280000001</v>
      </c>
      <c r="L113" s="188">
        <f t="shared" si="33"/>
        <v>3000000</v>
      </c>
      <c r="M113" s="189">
        <f t="shared" si="31"/>
        <v>53544345.5</v>
      </c>
      <c r="N113" s="156">
        <f>C113+F113</f>
        <v>53544345.5</v>
      </c>
    </row>
    <row r="114" spans="1:14" s="190" customFormat="1" ht="16.5">
      <c r="A114" s="191" t="s">
        <v>649</v>
      </c>
      <c r="B114" s="192" t="s">
        <v>650</v>
      </c>
      <c r="C114" s="123">
        <f>C115</f>
        <v>0</v>
      </c>
      <c r="D114" s="123">
        <f aca="true" t="shared" si="34" ref="D114:L114">D115</f>
        <v>0</v>
      </c>
      <c r="E114" s="123">
        <f t="shared" si="34"/>
        <v>0</v>
      </c>
      <c r="F114" s="123">
        <f t="shared" si="34"/>
        <v>14126080.280000001</v>
      </c>
      <c r="G114" s="123">
        <f t="shared" si="34"/>
        <v>0</v>
      </c>
      <c r="H114" s="123">
        <f t="shared" si="34"/>
        <v>0</v>
      </c>
      <c r="I114" s="123">
        <f t="shared" si="34"/>
        <v>0</v>
      </c>
      <c r="J114" s="123">
        <f t="shared" si="34"/>
        <v>14126080.280000001</v>
      </c>
      <c r="K114" s="123">
        <f t="shared" si="34"/>
        <v>14126080.280000001</v>
      </c>
      <c r="L114" s="123">
        <f t="shared" si="34"/>
        <v>3000000</v>
      </c>
      <c r="M114" s="158">
        <f t="shared" si="31"/>
        <v>14126080.280000001</v>
      </c>
      <c r="N114" s="156"/>
    </row>
    <row r="115" spans="1:14" s="190" customFormat="1" ht="16.5">
      <c r="A115" s="91" t="s">
        <v>549</v>
      </c>
      <c r="B115" s="96" t="s">
        <v>550</v>
      </c>
      <c r="C115" s="158"/>
      <c r="D115" s="123"/>
      <c r="E115" s="123"/>
      <c r="F115" s="161">
        <f>G115+J115</f>
        <v>14126080.280000001</v>
      </c>
      <c r="G115" s="123"/>
      <c r="H115" s="123"/>
      <c r="I115" s="123"/>
      <c r="J115" s="110">
        <f>2174372.2+676064.6+19043+3000000+7916950.16+J118+139650.32</f>
        <v>14126080.280000001</v>
      </c>
      <c r="K115" s="110">
        <f>2174372.2+676064.6+19043+3000000+7916950.16+K118+139650.32</f>
        <v>14126080.280000001</v>
      </c>
      <c r="L115" s="110">
        <v>3000000</v>
      </c>
      <c r="M115" s="158">
        <f t="shared" si="31"/>
        <v>14126080.280000001</v>
      </c>
      <c r="N115" s="156">
        <f>C115+F115</f>
        <v>14126080.280000001</v>
      </c>
    </row>
    <row r="116" spans="1:14" s="190" customFormat="1" ht="96" customHeight="1">
      <c r="A116" s="91"/>
      <c r="B116" s="96" t="s">
        <v>551</v>
      </c>
      <c r="C116" s="158"/>
      <c r="D116" s="123"/>
      <c r="E116" s="123"/>
      <c r="F116" s="161">
        <f>G116+J116</f>
        <v>3000000</v>
      </c>
      <c r="G116" s="123"/>
      <c r="H116" s="123"/>
      <c r="I116" s="123"/>
      <c r="J116" s="110">
        <v>3000000</v>
      </c>
      <c r="K116" s="110">
        <v>3000000</v>
      </c>
      <c r="L116" s="110">
        <v>3000000</v>
      </c>
      <c r="M116" s="158">
        <f t="shared" si="31"/>
        <v>3000000</v>
      </c>
      <c r="N116" s="156"/>
    </row>
    <row r="117" spans="1:14" s="190" customFormat="1" ht="96" customHeight="1">
      <c r="A117" s="91"/>
      <c r="B117" s="96" t="s">
        <v>552</v>
      </c>
      <c r="C117" s="158"/>
      <c r="D117" s="123"/>
      <c r="E117" s="123"/>
      <c r="F117" s="161">
        <f>G117+J117</f>
        <v>676064.6</v>
      </c>
      <c r="G117" s="123"/>
      <c r="H117" s="123"/>
      <c r="I117" s="123"/>
      <c r="J117" s="110">
        <v>676064.6</v>
      </c>
      <c r="K117" s="110">
        <v>676064.6</v>
      </c>
      <c r="L117" s="110"/>
      <c r="M117" s="158">
        <f t="shared" si="31"/>
        <v>676064.6</v>
      </c>
      <c r="N117" s="156"/>
    </row>
    <row r="118" spans="1:14" s="190" customFormat="1" ht="35.25" customHeight="1">
      <c r="A118" s="91"/>
      <c r="B118" s="96" t="s">
        <v>553</v>
      </c>
      <c r="C118" s="158"/>
      <c r="D118" s="123"/>
      <c r="E118" s="123"/>
      <c r="F118" s="161">
        <f>G118+J118</f>
        <v>200000</v>
      </c>
      <c r="G118" s="123"/>
      <c r="H118" s="123"/>
      <c r="I118" s="123"/>
      <c r="J118" s="110">
        <v>200000</v>
      </c>
      <c r="K118" s="110">
        <v>200000</v>
      </c>
      <c r="L118" s="110"/>
      <c r="M118" s="158">
        <f t="shared" si="31"/>
        <v>200000</v>
      </c>
      <c r="N118" s="156"/>
    </row>
    <row r="119" spans="1:14" s="190" customFormat="1" ht="47.25">
      <c r="A119" s="91" t="s">
        <v>651</v>
      </c>
      <c r="B119" s="96" t="s">
        <v>652</v>
      </c>
      <c r="C119" s="158">
        <f>C120</f>
        <v>0</v>
      </c>
      <c r="D119" s="158">
        <f aca="true" t="shared" si="35" ref="D119:L119">D120</f>
        <v>0</v>
      </c>
      <c r="E119" s="158">
        <f t="shared" si="35"/>
        <v>0</v>
      </c>
      <c r="F119" s="158">
        <f t="shared" si="35"/>
        <v>35253545.28</v>
      </c>
      <c r="G119" s="158">
        <f t="shared" si="35"/>
        <v>23072841.259999998</v>
      </c>
      <c r="H119" s="158">
        <f t="shared" si="35"/>
        <v>0</v>
      </c>
      <c r="I119" s="158">
        <f t="shared" si="35"/>
        <v>0</v>
      </c>
      <c r="J119" s="158">
        <f t="shared" si="35"/>
        <v>12180704.02</v>
      </c>
      <c r="K119" s="158">
        <f t="shared" si="35"/>
        <v>0</v>
      </c>
      <c r="L119" s="158">
        <f t="shared" si="35"/>
        <v>0</v>
      </c>
      <c r="M119" s="158">
        <f t="shared" si="31"/>
        <v>35253545.28</v>
      </c>
      <c r="N119" s="156"/>
    </row>
    <row r="120" spans="1:14" s="190" customFormat="1" ht="63">
      <c r="A120" s="91">
        <v>170703</v>
      </c>
      <c r="B120" s="96" t="s">
        <v>653</v>
      </c>
      <c r="C120" s="158"/>
      <c r="D120" s="123"/>
      <c r="E120" s="123"/>
      <c r="F120" s="161">
        <f>G120+J120</f>
        <v>35253545.28</v>
      </c>
      <c r="G120" s="110">
        <f>19252786.86+2424668.4+G121</f>
        <v>23072841.259999998</v>
      </c>
      <c r="H120" s="123"/>
      <c r="I120" s="123"/>
      <c r="J120" s="110">
        <f>3159402.44+J121</f>
        <v>12180704.02</v>
      </c>
      <c r="K120" s="110"/>
      <c r="L120" s="123"/>
      <c r="M120" s="158">
        <f t="shared" si="31"/>
        <v>35253545.28</v>
      </c>
      <c r="N120" s="156">
        <f>C120+F120</f>
        <v>35253545.28</v>
      </c>
    </row>
    <row r="121" spans="1:16" s="190" customFormat="1" ht="96" customHeight="1">
      <c r="A121" s="91"/>
      <c r="B121" s="96" t="s">
        <v>654</v>
      </c>
      <c r="C121" s="158"/>
      <c r="D121" s="123"/>
      <c r="E121" s="123"/>
      <c r="F121" s="161">
        <f>G121+J121</f>
        <v>10416687.58</v>
      </c>
      <c r="G121" s="110">
        <f>1035436+G123+G122</f>
        <v>1395386</v>
      </c>
      <c r="H121" s="123"/>
      <c r="I121" s="123"/>
      <c r="J121" s="110">
        <f>4862943.58+2200302+J123+J122</f>
        <v>9021301.58</v>
      </c>
      <c r="K121" s="110"/>
      <c r="L121" s="123"/>
      <c r="M121" s="158">
        <f>SUM(F121,C121)</f>
        <v>10416687.58</v>
      </c>
      <c r="N121" s="156">
        <f>C121+F121</f>
        <v>10416687.58</v>
      </c>
      <c r="P121" s="193"/>
    </row>
    <row r="122" spans="1:16" s="190" customFormat="1" ht="18.75" customHeight="1">
      <c r="A122" s="91" t="s">
        <v>380</v>
      </c>
      <c r="B122" s="58" t="s">
        <v>408</v>
      </c>
      <c r="C122" s="158"/>
      <c r="D122" s="123"/>
      <c r="E122" s="123"/>
      <c r="F122" s="161">
        <f>G122+J122</f>
        <v>1548720</v>
      </c>
      <c r="G122" s="110">
        <v>77820</v>
      </c>
      <c r="H122" s="123"/>
      <c r="I122" s="123"/>
      <c r="J122" s="110">
        <v>1470900</v>
      </c>
      <c r="K122" s="110"/>
      <c r="L122" s="123"/>
      <c r="M122" s="158">
        <f>SUM(F122,C122)</f>
        <v>1548720</v>
      </c>
      <c r="N122" s="156"/>
      <c r="P122" s="193"/>
    </row>
    <row r="123" spans="1:16" s="190" customFormat="1" ht="18" customHeight="1">
      <c r="A123" s="91"/>
      <c r="B123" s="58" t="s">
        <v>407</v>
      </c>
      <c r="C123" s="158"/>
      <c r="D123" s="123"/>
      <c r="E123" s="123"/>
      <c r="F123" s="161">
        <f>G123+J123</f>
        <v>769286</v>
      </c>
      <c r="G123" s="110">
        <f>183600+98530</f>
        <v>282130</v>
      </c>
      <c r="H123" s="123"/>
      <c r="I123" s="123"/>
      <c r="J123" s="110">
        <f>96956+390200</f>
        <v>487156</v>
      </c>
      <c r="K123" s="110"/>
      <c r="L123" s="123"/>
      <c r="M123" s="158">
        <f t="shared" si="31"/>
        <v>769286</v>
      </c>
      <c r="N123" s="156"/>
      <c r="P123" s="193"/>
    </row>
    <row r="124" spans="1:14" s="190" customFormat="1" ht="16.5">
      <c r="A124" s="91" t="s">
        <v>655</v>
      </c>
      <c r="B124" s="96" t="s">
        <v>656</v>
      </c>
      <c r="C124" s="194">
        <f>C125+C126+C127</f>
        <v>0</v>
      </c>
      <c r="D124" s="194">
        <f aca="true" t="shared" si="36" ref="D124:L124">D125+D126+D127</f>
        <v>0</v>
      </c>
      <c r="E124" s="194">
        <f t="shared" si="36"/>
        <v>0</v>
      </c>
      <c r="F124" s="158">
        <f t="shared" si="36"/>
        <v>4164719.94</v>
      </c>
      <c r="G124" s="194">
        <f t="shared" si="36"/>
        <v>0</v>
      </c>
      <c r="H124" s="194">
        <f t="shared" si="36"/>
        <v>0</v>
      </c>
      <c r="I124" s="194">
        <f t="shared" si="36"/>
        <v>0</v>
      </c>
      <c r="J124" s="158">
        <f t="shared" si="36"/>
        <v>4164719.94</v>
      </c>
      <c r="K124" s="194">
        <f t="shared" si="36"/>
        <v>0</v>
      </c>
      <c r="L124" s="194">
        <f t="shared" si="36"/>
        <v>0</v>
      </c>
      <c r="M124" s="194">
        <f t="shared" si="31"/>
        <v>4164719.94</v>
      </c>
      <c r="N124" s="156"/>
    </row>
    <row r="125" spans="1:14" s="190" customFormat="1" ht="36" customHeight="1">
      <c r="A125" s="91">
        <v>240601</v>
      </c>
      <c r="B125" s="96" t="s">
        <v>575</v>
      </c>
      <c r="C125" s="194"/>
      <c r="D125" s="195"/>
      <c r="E125" s="195"/>
      <c r="F125" s="161">
        <f>G125+J125</f>
        <v>2952209.94</v>
      </c>
      <c r="G125" s="196"/>
      <c r="H125" s="195"/>
      <c r="I125" s="195"/>
      <c r="J125" s="110">
        <f>2129030.35+49908+99461+673810.59</f>
        <v>2952209.94</v>
      </c>
      <c r="K125" s="196"/>
      <c r="L125" s="195"/>
      <c r="M125" s="158">
        <f t="shared" si="31"/>
        <v>2952209.94</v>
      </c>
      <c r="N125" s="156">
        <f>C125+F125</f>
        <v>2952209.94</v>
      </c>
    </row>
    <row r="126" spans="1:14" s="190" customFormat="1" ht="18" customHeight="1">
      <c r="A126" s="91" t="s">
        <v>657</v>
      </c>
      <c r="B126" s="96" t="s">
        <v>658</v>
      </c>
      <c r="C126" s="194"/>
      <c r="D126" s="195"/>
      <c r="E126" s="195"/>
      <c r="F126" s="161">
        <f>G126+J126</f>
        <v>600000</v>
      </c>
      <c r="G126" s="110"/>
      <c r="H126" s="123"/>
      <c r="I126" s="123"/>
      <c r="J126" s="110">
        <v>600000</v>
      </c>
      <c r="K126" s="196"/>
      <c r="L126" s="195"/>
      <c r="M126" s="194">
        <f t="shared" si="31"/>
        <v>600000</v>
      </c>
      <c r="N126" s="156">
        <f>C126+F126</f>
        <v>600000</v>
      </c>
    </row>
    <row r="127" spans="1:14" s="190" customFormat="1" ht="48" customHeight="1">
      <c r="A127" s="91" t="s">
        <v>577</v>
      </c>
      <c r="B127" s="96" t="s">
        <v>578</v>
      </c>
      <c r="C127" s="194"/>
      <c r="D127" s="195"/>
      <c r="E127" s="195"/>
      <c r="F127" s="161">
        <f>G127+J127</f>
        <v>612510</v>
      </c>
      <c r="G127" s="110"/>
      <c r="H127" s="123"/>
      <c r="I127" s="123"/>
      <c r="J127" s="110">
        <f>400000+212510</f>
        <v>612510</v>
      </c>
      <c r="K127" s="196"/>
      <c r="L127" s="195"/>
      <c r="M127" s="194">
        <f t="shared" si="31"/>
        <v>612510</v>
      </c>
      <c r="N127" s="156">
        <f>C127+F127</f>
        <v>612510</v>
      </c>
    </row>
    <row r="128" spans="1:14" s="190" customFormat="1" ht="51" customHeight="1">
      <c r="A128" s="153" t="s">
        <v>659</v>
      </c>
      <c r="B128" s="179" t="s">
        <v>660</v>
      </c>
      <c r="C128" s="155">
        <f>C129</f>
        <v>0</v>
      </c>
      <c r="D128" s="155">
        <f aca="true" t="shared" si="37" ref="D128:L129">D129</f>
        <v>0</v>
      </c>
      <c r="E128" s="155">
        <f t="shared" si="37"/>
        <v>0</v>
      </c>
      <c r="F128" s="155">
        <f t="shared" si="37"/>
        <v>547990.14</v>
      </c>
      <c r="G128" s="155">
        <f t="shared" si="37"/>
        <v>547990.14</v>
      </c>
      <c r="H128" s="155">
        <f t="shared" si="37"/>
        <v>0</v>
      </c>
      <c r="I128" s="155">
        <f t="shared" si="37"/>
        <v>0</v>
      </c>
      <c r="J128" s="155">
        <f t="shared" si="37"/>
        <v>0</v>
      </c>
      <c r="K128" s="155">
        <f t="shared" si="37"/>
        <v>0</v>
      </c>
      <c r="L128" s="155">
        <f t="shared" si="37"/>
        <v>0</v>
      </c>
      <c r="M128" s="155">
        <f t="shared" si="31"/>
        <v>547990.14</v>
      </c>
      <c r="N128" s="156">
        <f>C128+F128</f>
        <v>547990.14</v>
      </c>
    </row>
    <row r="129" spans="1:14" s="190" customFormat="1" ht="51" customHeight="1">
      <c r="A129" s="91" t="s">
        <v>661</v>
      </c>
      <c r="B129" s="112" t="s">
        <v>662</v>
      </c>
      <c r="C129" s="161">
        <f>C130</f>
        <v>0</v>
      </c>
      <c r="D129" s="161">
        <f t="shared" si="37"/>
        <v>0</v>
      </c>
      <c r="E129" s="161">
        <f t="shared" si="37"/>
        <v>0</v>
      </c>
      <c r="F129" s="161">
        <f t="shared" si="37"/>
        <v>547990.14</v>
      </c>
      <c r="G129" s="161">
        <f t="shared" si="37"/>
        <v>547990.14</v>
      </c>
      <c r="H129" s="161">
        <f t="shared" si="37"/>
        <v>0</v>
      </c>
      <c r="I129" s="161">
        <f t="shared" si="37"/>
        <v>0</v>
      </c>
      <c r="J129" s="161">
        <f t="shared" si="37"/>
        <v>0</v>
      </c>
      <c r="K129" s="161">
        <f t="shared" si="37"/>
        <v>0</v>
      </c>
      <c r="L129" s="161">
        <f t="shared" si="37"/>
        <v>0</v>
      </c>
      <c r="M129" s="158">
        <f t="shared" si="31"/>
        <v>547990.14</v>
      </c>
      <c r="N129" s="156"/>
    </row>
    <row r="130" spans="1:14" s="190" customFormat="1" ht="31.5">
      <c r="A130" s="91" t="s">
        <v>568</v>
      </c>
      <c r="B130" s="112" t="s">
        <v>663</v>
      </c>
      <c r="C130" s="158"/>
      <c r="D130" s="197"/>
      <c r="E130" s="197"/>
      <c r="F130" s="158">
        <f>G130+J130</f>
        <v>547990.14</v>
      </c>
      <c r="G130" s="197">
        <v>547990.14</v>
      </c>
      <c r="H130" s="197"/>
      <c r="I130" s="197"/>
      <c r="J130" s="197"/>
      <c r="K130" s="197"/>
      <c r="L130" s="197"/>
      <c r="M130" s="158">
        <f t="shared" si="31"/>
        <v>547990.14</v>
      </c>
      <c r="N130" s="156">
        <f>C130+F130</f>
        <v>547990.14</v>
      </c>
    </row>
    <row r="131" spans="1:14" s="190" customFormat="1" ht="63">
      <c r="A131" s="153" t="s">
        <v>664</v>
      </c>
      <c r="B131" s="179" t="s">
        <v>665</v>
      </c>
      <c r="C131" s="198">
        <f>C133</f>
        <v>0</v>
      </c>
      <c r="D131" s="198">
        <f aca="true" t="shared" si="38" ref="D131:L131">D133</f>
        <v>0</v>
      </c>
      <c r="E131" s="198">
        <f t="shared" si="38"/>
        <v>0</v>
      </c>
      <c r="F131" s="198">
        <f t="shared" si="38"/>
        <v>34000</v>
      </c>
      <c r="G131" s="198">
        <f t="shared" si="38"/>
        <v>0</v>
      </c>
      <c r="H131" s="198">
        <f t="shared" si="38"/>
        <v>0</v>
      </c>
      <c r="I131" s="198">
        <f t="shared" si="38"/>
        <v>0</v>
      </c>
      <c r="J131" s="198">
        <f t="shared" si="38"/>
        <v>34000</v>
      </c>
      <c r="K131" s="198">
        <f t="shared" si="38"/>
        <v>34000</v>
      </c>
      <c r="L131" s="198">
        <f t="shared" si="38"/>
        <v>0</v>
      </c>
      <c r="M131" s="198">
        <f>C131+F131</f>
        <v>34000</v>
      </c>
      <c r="N131" s="156">
        <f>C131+F131</f>
        <v>34000</v>
      </c>
    </row>
    <row r="132" spans="1:14" s="190" customFormat="1" ht="47.25">
      <c r="A132" s="91" t="s">
        <v>666</v>
      </c>
      <c r="B132" s="112" t="s">
        <v>667</v>
      </c>
      <c r="C132" s="199">
        <f>C133</f>
        <v>0</v>
      </c>
      <c r="D132" s="199">
        <f aca="true" t="shared" si="39" ref="D132:L133">D133</f>
        <v>0</v>
      </c>
      <c r="E132" s="199">
        <f t="shared" si="39"/>
        <v>0</v>
      </c>
      <c r="F132" s="199">
        <f t="shared" si="39"/>
        <v>34000</v>
      </c>
      <c r="G132" s="199">
        <f t="shared" si="39"/>
        <v>0</v>
      </c>
      <c r="H132" s="199">
        <f t="shared" si="39"/>
        <v>0</v>
      </c>
      <c r="I132" s="199">
        <f t="shared" si="39"/>
        <v>0</v>
      </c>
      <c r="J132" s="199">
        <f t="shared" si="39"/>
        <v>34000</v>
      </c>
      <c r="K132" s="199">
        <f t="shared" si="39"/>
        <v>34000</v>
      </c>
      <c r="L132" s="199">
        <f t="shared" si="39"/>
        <v>0</v>
      </c>
      <c r="M132" s="194">
        <f aca="true" t="shared" si="40" ref="M132:M143">SUM(F132,C132)</f>
        <v>34000</v>
      </c>
      <c r="N132" s="156"/>
    </row>
    <row r="133" spans="1:14" s="190" customFormat="1" ht="48.75" customHeight="1">
      <c r="A133" s="91" t="s">
        <v>571</v>
      </c>
      <c r="B133" s="112" t="s">
        <v>572</v>
      </c>
      <c r="C133" s="195">
        <f>C134</f>
        <v>0</v>
      </c>
      <c r="D133" s="195">
        <f t="shared" si="39"/>
        <v>0</v>
      </c>
      <c r="E133" s="195">
        <f t="shared" si="39"/>
        <v>0</v>
      </c>
      <c r="F133" s="195">
        <f t="shared" si="39"/>
        <v>34000</v>
      </c>
      <c r="G133" s="195">
        <f t="shared" si="39"/>
        <v>0</v>
      </c>
      <c r="H133" s="195">
        <f t="shared" si="39"/>
        <v>0</v>
      </c>
      <c r="I133" s="195">
        <f t="shared" si="39"/>
        <v>0</v>
      </c>
      <c r="J133" s="196">
        <f t="shared" si="39"/>
        <v>34000</v>
      </c>
      <c r="K133" s="196">
        <f t="shared" si="39"/>
        <v>34000</v>
      </c>
      <c r="L133" s="195">
        <f t="shared" si="39"/>
        <v>0</v>
      </c>
      <c r="M133" s="194">
        <f t="shared" si="40"/>
        <v>34000</v>
      </c>
      <c r="N133" s="156">
        <f>C133+F133</f>
        <v>34000</v>
      </c>
    </row>
    <row r="134" spans="1:14" s="190" customFormat="1" ht="110.25">
      <c r="A134" s="91" t="s">
        <v>380</v>
      </c>
      <c r="B134" s="112" t="s">
        <v>573</v>
      </c>
      <c r="C134" s="195"/>
      <c r="D134" s="200"/>
      <c r="E134" s="200"/>
      <c r="F134" s="194">
        <f>G134+J134</f>
        <v>34000</v>
      </c>
      <c r="G134" s="200"/>
      <c r="H134" s="200"/>
      <c r="I134" s="200"/>
      <c r="J134" s="200">
        <v>34000</v>
      </c>
      <c r="K134" s="200">
        <v>34000</v>
      </c>
      <c r="L134" s="200"/>
      <c r="M134" s="194">
        <f t="shared" si="40"/>
        <v>34000</v>
      </c>
      <c r="N134" s="156">
        <f>C134+F134</f>
        <v>34000</v>
      </c>
    </row>
    <row r="135" spans="1:14" s="190" customFormat="1" ht="47.25">
      <c r="A135" s="153" t="s">
        <v>668</v>
      </c>
      <c r="B135" s="164" t="s">
        <v>669</v>
      </c>
      <c r="C135" s="188">
        <f>C136+C141</f>
        <v>24989.67</v>
      </c>
      <c r="D135" s="188">
        <f aca="true" t="shared" si="41" ref="D135:L135">D136+D141</f>
        <v>0</v>
      </c>
      <c r="E135" s="188">
        <f t="shared" si="41"/>
        <v>0</v>
      </c>
      <c r="F135" s="188">
        <f t="shared" si="41"/>
        <v>286301.5</v>
      </c>
      <c r="G135" s="188">
        <f t="shared" si="41"/>
        <v>286301.5</v>
      </c>
      <c r="H135" s="188">
        <f t="shared" si="41"/>
        <v>0</v>
      </c>
      <c r="I135" s="188">
        <f t="shared" si="41"/>
        <v>0</v>
      </c>
      <c r="J135" s="188">
        <f t="shared" si="41"/>
        <v>0</v>
      </c>
      <c r="K135" s="188">
        <f t="shared" si="41"/>
        <v>0</v>
      </c>
      <c r="L135" s="188">
        <f t="shared" si="41"/>
        <v>0</v>
      </c>
      <c r="M135" s="189">
        <f t="shared" si="40"/>
        <v>311291.17</v>
      </c>
      <c r="N135" s="156">
        <f>C135+F135</f>
        <v>311291.17</v>
      </c>
    </row>
    <row r="136" spans="1:14" s="190" customFormat="1" ht="31.5">
      <c r="A136" s="72" t="s">
        <v>616</v>
      </c>
      <c r="B136" s="168" t="s">
        <v>617</v>
      </c>
      <c r="C136" s="123">
        <f>C137+C139</f>
        <v>24989.67</v>
      </c>
      <c r="D136" s="123"/>
      <c r="E136" s="123"/>
      <c r="F136" s="123"/>
      <c r="G136" s="123"/>
      <c r="H136" s="123"/>
      <c r="I136" s="123"/>
      <c r="J136" s="123"/>
      <c r="K136" s="123"/>
      <c r="L136" s="123"/>
      <c r="M136" s="194">
        <f t="shared" si="40"/>
        <v>24989.67</v>
      </c>
      <c r="N136" s="156"/>
    </row>
    <row r="137" spans="1:14" s="190" customFormat="1" ht="31.5">
      <c r="A137" s="91" t="s">
        <v>559</v>
      </c>
      <c r="B137" s="96" t="s">
        <v>560</v>
      </c>
      <c r="C137" s="123">
        <f>C138</f>
        <v>17989.67</v>
      </c>
      <c r="D137" s="123"/>
      <c r="E137" s="123"/>
      <c r="F137" s="123"/>
      <c r="G137" s="123"/>
      <c r="H137" s="123"/>
      <c r="I137" s="123"/>
      <c r="J137" s="123"/>
      <c r="K137" s="123"/>
      <c r="L137" s="123"/>
      <c r="M137" s="194">
        <f t="shared" si="40"/>
        <v>17989.67</v>
      </c>
      <c r="N137" s="156"/>
    </row>
    <row r="138" spans="1:14" s="190" customFormat="1" ht="63">
      <c r="A138" s="91" t="s">
        <v>380</v>
      </c>
      <c r="B138" s="96" t="s">
        <v>561</v>
      </c>
      <c r="C138" s="123">
        <v>17989.67</v>
      </c>
      <c r="D138" s="123"/>
      <c r="E138" s="123"/>
      <c r="F138" s="123"/>
      <c r="G138" s="123"/>
      <c r="H138" s="123"/>
      <c r="I138" s="123"/>
      <c r="J138" s="123"/>
      <c r="K138" s="123"/>
      <c r="L138" s="123"/>
      <c r="M138" s="194">
        <f t="shared" si="40"/>
        <v>17989.67</v>
      </c>
      <c r="N138" s="156"/>
    </row>
    <row r="139" spans="1:14" s="190" customFormat="1" ht="31.5">
      <c r="A139" s="105" t="s">
        <v>670</v>
      </c>
      <c r="B139" s="96" t="s">
        <v>671</v>
      </c>
      <c r="C139" s="123">
        <f>C140</f>
        <v>7000</v>
      </c>
      <c r="D139" s="123"/>
      <c r="E139" s="123"/>
      <c r="F139" s="123"/>
      <c r="G139" s="123"/>
      <c r="H139" s="123"/>
      <c r="I139" s="123"/>
      <c r="J139" s="123"/>
      <c r="K139" s="123"/>
      <c r="L139" s="123"/>
      <c r="M139" s="194">
        <f t="shared" si="40"/>
        <v>7000</v>
      </c>
      <c r="N139" s="156"/>
    </row>
    <row r="140" spans="1:14" s="190" customFormat="1" ht="63">
      <c r="A140" s="105" t="s">
        <v>380</v>
      </c>
      <c r="B140" s="96" t="s">
        <v>565</v>
      </c>
      <c r="C140" s="123">
        <v>7000</v>
      </c>
      <c r="D140" s="123"/>
      <c r="E140" s="123"/>
      <c r="F140" s="123"/>
      <c r="G140" s="123"/>
      <c r="H140" s="123"/>
      <c r="I140" s="123"/>
      <c r="J140" s="123"/>
      <c r="K140" s="123"/>
      <c r="L140" s="123"/>
      <c r="M140" s="194">
        <f t="shared" si="40"/>
        <v>7000</v>
      </c>
      <c r="N140" s="156"/>
    </row>
    <row r="141" spans="1:14" s="190" customFormat="1" ht="16.5">
      <c r="A141" s="72" t="s">
        <v>672</v>
      </c>
      <c r="B141" s="177" t="s">
        <v>673</v>
      </c>
      <c r="C141" s="123">
        <f>C142+C143</f>
        <v>0</v>
      </c>
      <c r="D141" s="123">
        <f aca="true" t="shared" si="42" ref="D141:L141">D142+D143</f>
        <v>0</v>
      </c>
      <c r="E141" s="123">
        <f t="shared" si="42"/>
        <v>0</v>
      </c>
      <c r="F141" s="123">
        <f t="shared" si="42"/>
        <v>286301.5</v>
      </c>
      <c r="G141" s="123">
        <f t="shared" si="42"/>
        <v>286301.5</v>
      </c>
      <c r="H141" s="123">
        <f t="shared" si="42"/>
        <v>0</v>
      </c>
      <c r="I141" s="123">
        <f t="shared" si="42"/>
        <v>0</v>
      </c>
      <c r="J141" s="123">
        <f t="shared" si="42"/>
        <v>0</v>
      </c>
      <c r="K141" s="123">
        <f t="shared" si="42"/>
        <v>0</v>
      </c>
      <c r="L141" s="123">
        <f t="shared" si="42"/>
        <v>0</v>
      </c>
      <c r="M141" s="194">
        <f t="shared" si="40"/>
        <v>286301.5</v>
      </c>
      <c r="N141" s="156"/>
    </row>
    <row r="142" spans="1:14" ht="47.25">
      <c r="A142" s="91" t="s">
        <v>674</v>
      </c>
      <c r="B142" s="96" t="s">
        <v>675</v>
      </c>
      <c r="C142" s="160"/>
      <c r="D142" s="110"/>
      <c r="E142" s="110"/>
      <c r="F142" s="123">
        <f>G142+J142</f>
        <v>46301.5</v>
      </c>
      <c r="G142" s="201">
        <v>46301.5</v>
      </c>
      <c r="H142" s="201"/>
      <c r="I142" s="201"/>
      <c r="J142" s="201"/>
      <c r="K142" s="201"/>
      <c r="L142" s="201"/>
      <c r="M142" s="194">
        <f t="shared" si="40"/>
        <v>46301.5</v>
      </c>
      <c r="N142" s="156">
        <f>C142+F142</f>
        <v>46301.5</v>
      </c>
    </row>
    <row r="143" spans="1:14" ht="31.5">
      <c r="A143" s="91" t="s">
        <v>580</v>
      </c>
      <c r="B143" s="96" t="s">
        <v>581</v>
      </c>
      <c r="C143" s="160"/>
      <c r="D143" s="110"/>
      <c r="E143" s="110"/>
      <c r="F143" s="123">
        <f>G143+J143</f>
        <v>240000</v>
      </c>
      <c r="G143" s="201">
        <v>240000</v>
      </c>
      <c r="H143" s="201"/>
      <c r="I143" s="201"/>
      <c r="J143" s="201"/>
      <c r="K143" s="201"/>
      <c r="L143" s="201"/>
      <c r="M143" s="194">
        <f t="shared" si="40"/>
        <v>240000</v>
      </c>
      <c r="N143" s="156"/>
    </row>
    <row r="144" spans="1:14" s="157" customFormat="1" ht="18.75">
      <c r="A144" s="202"/>
      <c r="B144" s="203" t="s">
        <v>590</v>
      </c>
      <c r="C144" s="204">
        <f>C12+C16+C20+C26+C30+C49+C60+C66+C92+C99+C102+C113+C128+C131+C135</f>
        <v>6533400.97</v>
      </c>
      <c r="D144" s="204">
        <f aca="true" t="shared" si="43" ref="D144:M144">D12+D16+D20+D26+D30+D49+D60+D66+D92+D99+D102+D113+D128+D131+D135</f>
        <v>526700</v>
      </c>
      <c r="E144" s="204">
        <f t="shared" si="43"/>
        <v>178000</v>
      </c>
      <c r="F144" s="204">
        <f t="shared" si="43"/>
        <v>57170118.93</v>
      </c>
      <c r="G144" s="204">
        <f t="shared" si="43"/>
        <v>23907132.9</v>
      </c>
      <c r="H144" s="204">
        <f t="shared" si="43"/>
        <v>0</v>
      </c>
      <c r="I144" s="204">
        <f t="shared" si="43"/>
        <v>0</v>
      </c>
      <c r="J144" s="204">
        <f t="shared" si="43"/>
        <v>33262986.03</v>
      </c>
      <c r="K144" s="204">
        <f t="shared" si="43"/>
        <v>16917562.07</v>
      </c>
      <c r="L144" s="204">
        <f t="shared" si="43"/>
        <v>3000000</v>
      </c>
      <c r="M144" s="204">
        <f t="shared" si="43"/>
        <v>63703519.900000006</v>
      </c>
      <c r="N144" s="156">
        <f>C144+F144</f>
        <v>63703519.9</v>
      </c>
    </row>
    <row r="145" spans="1:14" s="157" customFormat="1" ht="16.5">
      <c r="A145" s="202"/>
      <c r="B145" s="203" t="s">
        <v>591</v>
      </c>
      <c r="C145" s="155">
        <f>C150+C146</f>
        <v>16600</v>
      </c>
      <c r="D145" s="155">
        <f aca="true" t="shared" si="44" ref="D145:M145">D150+D146</f>
        <v>0</v>
      </c>
      <c r="E145" s="155">
        <f t="shared" si="44"/>
        <v>0</v>
      </c>
      <c r="F145" s="155">
        <f t="shared" si="44"/>
        <v>1086753.98</v>
      </c>
      <c r="G145" s="155">
        <f t="shared" si="44"/>
        <v>156238</v>
      </c>
      <c r="H145" s="155">
        <f t="shared" si="44"/>
        <v>0</v>
      </c>
      <c r="I145" s="155">
        <f t="shared" si="44"/>
        <v>0</v>
      </c>
      <c r="J145" s="155">
        <f t="shared" si="44"/>
        <v>930515.98</v>
      </c>
      <c r="K145" s="155">
        <f t="shared" si="44"/>
        <v>930515.98</v>
      </c>
      <c r="L145" s="155">
        <f t="shared" si="44"/>
        <v>0</v>
      </c>
      <c r="M145" s="155">
        <f t="shared" si="44"/>
        <v>1103353.98</v>
      </c>
      <c r="N145" s="156">
        <f>C145+F145</f>
        <v>1103353.98</v>
      </c>
    </row>
    <row r="146" spans="1:14" s="157" customFormat="1" ht="47.25">
      <c r="A146" s="153" t="s">
        <v>647</v>
      </c>
      <c r="B146" s="154" t="s">
        <v>648</v>
      </c>
      <c r="C146" s="155">
        <f>C147</f>
        <v>0</v>
      </c>
      <c r="D146" s="155">
        <f aca="true" t="shared" si="45" ref="D146:M146">D147</f>
        <v>0</v>
      </c>
      <c r="E146" s="155">
        <f t="shared" si="45"/>
        <v>0</v>
      </c>
      <c r="F146" s="155">
        <f t="shared" si="45"/>
        <v>1049753.98</v>
      </c>
      <c r="G146" s="155">
        <f t="shared" si="45"/>
        <v>156238</v>
      </c>
      <c r="H146" s="155">
        <f t="shared" si="45"/>
        <v>0</v>
      </c>
      <c r="I146" s="155">
        <f t="shared" si="45"/>
        <v>0</v>
      </c>
      <c r="J146" s="155">
        <f t="shared" si="45"/>
        <v>893515.98</v>
      </c>
      <c r="K146" s="155">
        <f t="shared" si="45"/>
        <v>893515.98</v>
      </c>
      <c r="L146" s="155">
        <f t="shared" si="45"/>
        <v>0</v>
      </c>
      <c r="M146" s="155">
        <f t="shared" si="45"/>
        <v>1049753.98</v>
      </c>
      <c r="N146" s="156"/>
    </row>
    <row r="147" spans="1:14" s="157" customFormat="1" ht="31.5">
      <c r="A147" s="72" t="s">
        <v>607</v>
      </c>
      <c r="B147" s="177" t="s">
        <v>608</v>
      </c>
      <c r="C147" s="161">
        <f>C148+C149</f>
        <v>0</v>
      </c>
      <c r="D147" s="161">
        <f aca="true" t="shared" si="46" ref="D147:L147">D148+D149</f>
        <v>0</v>
      </c>
      <c r="E147" s="161">
        <f t="shared" si="46"/>
        <v>0</v>
      </c>
      <c r="F147" s="161">
        <f t="shared" si="46"/>
        <v>1049753.98</v>
      </c>
      <c r="G147" s="161">
        <f t="shared" si="46"/>
        <v>156238</v>
      </c>
      <c r="H147" s="161">
        <f t="shared" si="46"/>
        <v>0</v>
      </c>
      <c r="I147" s="161">
        <f t="shared" si="46"/>
        <v>0</v>
      </c>
      <c r="J147" s="161">
        <f t="shared" si="46"/>
        <v>893515.98</v>
      </c>
      <c r="K147" s="161">
        <f t="shared" si="46"/>
        <v>893515.98</v>
      </c>
      <c r="L147" s="161">
        <f t="shared" si="46"/>
        <v>0</v>
      </c>
      <c r="M147" s="161">
        <f>F147+C147</f>
        <v>1049753.98</v>
      </c>
      <c r="N147" s="156"/>
    </row>
    <row r="148" spans="1:14" s="157" customFormat="1" ht="94.5">
      <c r="A148" s="91" t="s">
        <v>592</v>
      </c>
      <c r="B148" s="96" t="s">
        <v>593</v>
      </c>
      <c r="C148" s="161"/>
      <c r="D148" s="161"/>
      <c r="E148" s="161"/>
      <c r="F148" s="161">
        <f>G148+J148</f>
        <v>552792.88</v>
      </c>
      <c r="G148" s="162">
        <v>156238</v>
      </c>
      <c r="H148" s="162"/>
      <c r="I148" s="162"/>
      <c r="J148" s="162">
        <v>396554.88</v>
      </c>
      <c r="K148" s="162">
        <v>396554.88</v>
      </c>
      <c r="L148" s="161"/>
      <c r="M148" s="161">
        <f>F148+C148</f>
        <v>552792.88</v>
      </c>
      <c r="N148" s="156"/>
    </row>
    <row r="149" spans="1:14" s="157" customFormat="1" ht="16.5">
      <c r="A149" s="91" t="s">
        <v>594</v>
      </c>
      <c r="B149" s="96" t="s">
        <v>596</v>
      </c>
      <c r="C149" s="161"/>
      <c r="D149" s="161"/>
      <c r="E149" s="161"/>
      <c r="F149" s="161">
        <f>G149+J149</f>
        <v>496961.1</v>
      </c>
      <c r="G149" s="161"/>
      <c r="H149" s="161"/>
      <c r="I149" s="161"/>
      <c r="J149" s="162">
        <v>496961.1</v>
      </c>
      <c r="K149" s="162">
        <v>496961.1</v>
      </c>
      <c r="L149" s="161"/>
      <c r="M149" s="161">
        <f>F149+C149</f>
        <v>496961.1</v>
      </c>
      <c r="N149" s="156"/>
    </row>
    <row r="150" spans="1:14" s="157" customFormat="1" ht="47.25">
      <c r="A150" s="153" t="s">
        <v>668</v>
      </c>
      <c r="B150" s="164" t="s">
        <v>669</v>
      </c>
      <c r="C150" s="155">
        <f>C152</f>
        <v>16600</v>
      </c>
      <c r="D150" s="155">
        <f aca="true" t="shared" si="47" ref="D150:L150">D152</f>
        <v>0</v>
      </c>
      <c r="E150" s="155">
        <f t="shared" si="47"/>
        <v>0</v>
      </c>
      <c r="F150" s="155">
        <f t="shared" si="47"/>
        <v>37000</v>
      </c>
      <c r="G150" s="155">
        <f t="shared" si="47"/>
        <v>0</v>
      </c>
      <c r="H150" s="155">
        <f t="shared" si="47"/>
        <v>0</v>
      </c>
      <c r="I150" s="155">
        <f t="shared" si="47"/>
        <v>0</v>
      </c>
      <c r="J150" s="155">
        <f t="shared" si="47"/>
        <v>37000</v>
      </c>
      <c r="K150" s="155">
        <f t="shared" si="47"/>
        <v>37000</v>
      </c>
      <c r="L150" s="155">
        <f t="shared" si="47"/>
        <v>0</v>
      </c>
      <c r="M150" s="155">
        <f>C150+F150</f>
        <v>53600</v>
      </c>
      <c r="N150" s="156">
        <f>C150+F150</f>
        <v>53600</v>
      </c>
    </row>
    <row r="151" spans="1:14" s="157" customFormat="1" ht="31.5">
      <c r="A151" s="72" t="s">
        <v>607</v>
      </c>
      <c r="B151" s="177" t="s">
        <v>608</v>
      </c>
      <c r="C151" s="161">
        <f>C152</f>
        <v>16600</v>
      </c>
      <c r="D151" s="161">
        <f aca="true" t="shared" si="48" ref="D151:L151">D152</f>
        <v>0</v>
      </c>
      <c r="E151" s="161">
        <f t="shared" si="48"/>
        <v>0</v>
      </c>
      <c r="F151" s="161">
        <f t="shared" si="48"/>
        <v>37000</v>
      </c>
      <c r="G151" s="161">
        <f t="shared" si="48"/>
        <v>0</v>
      </c>
      <c r="H151" s="161">
        <f t="shared" si="48"/>
        <v>0</v>
      </c>
      <c r="I151" s="161">
        <f t="shared" si="48"/>
        <v>0</v>
      </c>
      <c r="J151" s="161">
        <f t="shared" si="48"/>
        <v>37000</v>
      </c>
      <c r="K151" s="161">
        <f t="shared" si="48"/>
        <v>37000</v>
      </c>
      <c r="L151" s="161">
        <f t="shared" si="48"/>
        <v>0</v>
      </c>
      <c r="M151" s="161">
        <f>C151+F151</f>
        <v>53600</v>
      </c>
      <c r="N151" s="156"/>
    </row>
    <row r="152" spans="1:14" s="157" customFormat="1" ht="84" customHeight="1">
      <c r="A152" s="91" t="s">
        <v>594</v>
      </c>
      <c r="B152" s="96" t="s">
        <v>595</v>
      </c>
      <c r="C152" s="161">
        <v>16600</v>
      </c>
      <c r="D152" s="161"/>
      <c r="E152" s="161"/>
      <c r="F152" s="161">
        <f>G152+J152</f>
        <v>37000</v>
      </c>
      <c r="G152" s="161"/>
      <c r="H152" s="161"/>
      <c r="I152" s="161"/>
      <c r="J152" s="162">
        <v>37000</v>
      </c>
      <c r="K152" s="162">
        <v>37000</v>
      </c>
      <c r="L152" s="161"/>
      <c r="M152" s="161">
        <f>C152+F152</f>
        <v>53600</v>
      </c>
      <c r="N152" s="156">
        <f>C152+F152</f>
        <v>53600</v>
      </c>
    </row>
    <row r="153" spans="1:14" s="157" customFormat="1" ht="19.5">
      <c r="A153" s="205"/>
      <c r="B153" s="206" t="s">
        <v>367</v>
      </c>
      <c r="C153" s="207">
        <f>C144+C145</f>
        <v>6550000.97</v>
      </c>
      <c r="D153" s="207">
        <f aca="true" t="shared" si="49" ref="D153:M153">D144+D145</f>
        <v>526700</v>
      </c>
      <c r="E153" s="207">
        <f t="shared" si="49"/>
        <v>178000</v>
      </c>
      <c r="F153" s="207">
        <f t="shared" si="49"/>
        <v>58256872.91</v>
      </c>
      <c r="G153" s="207">
        <f t="shared" si="49"/>
        <v>24063370.9</v>
      </c>
      <c r="H153" s="207">
        <f t="shared" si="49"/>
        <v>0</v>
      </c>
      <c r="I153" s="207">
        <f t="shared" si="49"/>
        <v>0</v>
      </c>
      <c r="J153" s="207">
        <f t="shared" si="49"/>
        <v>34193502.01</v>
      </c>
      <c r="K153" s="207">
        <f t="shared" si="49"/>
        <v>17848078.05</v>
      </c>
      <c r="L153" s="207">
        <f t="shared" si="49"/>
        <v>3000000</v>
      </c>
      <c r="M153" s="207">
        <f t="shared" si="49"/>
        <v>64806873.88</v>
      </c>
      <c r="N153" s="156">
        <f>C153+F153</f>
        <v>64806873.879999995</v>
      </c>
    </row>
    <row r="154" spans="1:14" ht="13.5" customHeight="1">
      <c r="A154" s="208"/>
      <c r="C154" s="209"/>
      <c r="D154" s="210"/>
      <c r="E154" s="210"/>
      <c r="F154" s="211"/>
      <c r="G154" s="210"/>
      <c r="H154" s="210"/>
      <c r="I154" s="210"/>
      <c r="J154" s="210"/>
      <c r="K154" s="210"/>
      <c r="L154" s="210"/>
      <c r="M154" s="209"/>
      <c r="N154" s="650"/>
    </row>
    <row r="155" spans="1:14" ht="16.5" customHeight="1">
      <c r="A155" s="212"/>
      <c r="B155" s="213"/>
      <c r="C155" s="209"/>
      <c r="D155" s="210"/>
      <c r="E155" s="210"/>
      <c r="F155" s="211"/>
      <c r="G155" s="210"/>
      <c r="H155" s="210"/>
      <c r="I155" s="214"/>
      <c r="J155" s="210"/>
      <c r="K155" s="210"/>
      <c r="L155" s="210"/>
      <c r="M155" s="215"/>
      <c r="N155" s="650"/>
    </row>
    <row r="156" spans="1:14" ht="37.5" customHeight="1">
      <c r="A156" s="216"/>
      <c r="B156" s="606" t="s">
        <v>373</v>
      </c>
      <c r="C156" s="606"/>
      <c r="D156" s="606"/>
      <c r="F156" s="217"/>
      <c r="G156" s="218"/>
      <c r="H156" s="218"/>
      <c r="K156" s="613" t="s">
        <v>375</v>
      </c>
      <c r="L156" s="613"/>
      <c r="M156" s="209"/>
      <c r="N156" s="650"/>
    </row>
    <row r="157" spans="1:14" ht="15.75">
      <c r="A157" s="219"/>
      <c r="C157" s="209"/>
      <c r="D157" s="210"/>
      <c r="E157" s="210"/>
      <c r="F157" s="211"/>
      <c r="G157" s="210"/>
      <c r="H157" s="210"/>
      <c r="I157" s="210"/>
      <c r="J157" s="210"/>
      <c r="K157" s="210"/>
      <c r="L157" s="210"/>
      <c r="M157" s="209"/>
      <c r="N157" s="156"/>
    </row>
    <row r="158" spans="1:14" ht="15.75">
      <c r="A158" s="212"/>
      <c r="K158" s="220"/>
      <c r="N158" s="156"/>
    </row>
    <row r="159" spans="1:14" ht="15.75">
      <c r="A159" s="212"/>
      <c r="B159" s="221" t="s">
        <v>367</v>
      </c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156"/>
    </row>
    <row r="160" spans="1:14" ht="15.75">
      <c r="A160" s="212"/>
      <c r="B160" s="221" t="s">
        <v>676</v>
      </c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4"/>
    </row>
    <row r="161" spans="1:14" ht="15.75">
      <c r="A161" s="212"/>
      <c r="B161" s="138" t="s">
        <v>677</v>
      </c>
      <c r="C161" s="225">
        <f>'[2]додаток 1уточ. (2)'!$C$40-C153</f>
        <v>-1229200.9699999997</v>
      </c>
      <c r="D161" s="223">
        <f>'[2]додаток 1уточ. (2)'!$C$18-C153</f>
        <v>-4274200.97</v>
      </c>
      <c r="E161" s="223"/>
      <c r="F161" s="223"/>
      <c r="N161" s="156"/>
    </row>
    <row r="162" spans="1:14" ht="15.75">
      <c r="A162" s="212"/>
      <c r="B162" s="138" t="s">
        <v>678</v>
      </c>
      <c r="C162" s="226"/>
      <c r="D162" s="223"/>
      <c r="E162" s="223"/>
      <c r="F162" s="226"/>
      <c r="N162" s="156"/>
    </row>
    <row r="163" spans="1:14" ht="15.75">
      <c r="A163" s="212"/>
      <c r="B163" s="138" t="s">
        <v>679</v>
      </c>
      <c r="C163" s="223"/>
      <c r="D163" s="227"/>
      <c r="E163" s="227"/>
      <c r="F163" s="228"/>
      <c r="N163" s="156"/>
    </row>
    <row r="164" spans="1:14" ht="15.75">
      <c r="A164" s="212"/>
      <c r="B164" s="138" t="s">
        <v>680</v>
      </c>
      <c r="C164" s="223"/>
      <c r="D164" s="227"/>
      <c r="E164" s="227"/>
      <c r="F164" s="223"/>
      <c r="N164" s="156"/>
    </row>
  </sheetData>
  <mergeCells count="21">
    <mergeCell ref="F8:F10"/>
    <mergeCell ref="K9:K10"/>
    <mergeCell ref="A4:M4"/>
    <mergeCell ref="A5:M5"/>
    <mergeCell ref="C7:E7"/>
    <mergeCell ref="F7:L7"/>
    <mergeCell ref="M7:M10"/>
    <mergeCell ref="A8:A10"/>
    <mergeCell ref="B8:B10"/>
    <mergeCell ref="C8:C10"/>
    <mergeCell ref="D8:E8"/>
    <mergeCell ref="B156:D156"/>
    <mergeCell ref="K156:L156"/>
    <mergeCell ref="D9:D10"/>
    <mergeCell ref="E9:E10"/>
    <mergeCell ref="H9:H10"/>
    <mergeCell ref="I9:I10"/>
    <mergeCell ref="G8:G10"/>
    <mergeCell ref="H8:I8"/>
    <mergeCell ref="J8:J10"/>
    <mergeCell ref="K8:L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8"/>
  <sheetViews>
    <sheetView workbookViewId="0" topLeftCell="A1">
      <selection activeCell="D13" sqref="D13"/>
    </sheetView>
  </sheetViews>
  <sheetFormatPr defaultColWidth="9.33203125" defaultRowHeight="12.75"/>
  <cols>
    <col min="1" max="1" width="13.33203125" style="0" customWidth="1"/>
    <col min="2" max="2" width="14.16015625" style="137" customWidth="1"/>
    <col min="3" max="3" width="48.16015625" style="138" customWidth="1"/>
    <col min="4" max="4" width="21.5" style="139" customWidth="1"/>
    <col min="5" max="5" width="18.83203125" style="0" customWidth="1"/>
    <col min="6" max="6" width="17.5" style="0" customWidth="1"/>
    <col min="7" max="7" width="22" style="140" customWidth="1"/>
    <col min="8" max="8" width="23" style="0" customWidth="1"/>
    <col min="9" max="9" width="17.5" style="0" customWidth="1"/>
    <col min="10" max="10" width="14.33203125" style="0" customWidth="1"/>
    <col min="11" max="11" width="22.83203125" style="0" customWidth="1"/>
    <col min="12" max="12" width="21.5" style="0" customWidth="1"/>
    <col min="13" max="13" width="20" style="0" customWidth="1"/>
    <col min="14" max="14" width="26" style="139" customWidth="1"/>
  </cols>
  <sheetData>
    <row r="1" ht="12.75">
      <c r="M1" s="144" t="s">
        <v>216</v>
      </c>
    </row>
    <row r="2" spans="2:13" ht="12.75">
      <c r="B2" s="141"/>
      <c r="C2" s="142"/>
      <c r="D2" s="143"/>
      <c r="M2" t="s">
        <v>377</v>
      </c>
    </row>
    <row r="3" spans="2:14" ht="12.75">
      <c r="B3" s="141"/>
      <c r="C3" s="142"/>
      <c r="D3" s="143"/>
      <c r="M3" s="144" t="s">
        <v>50</v>
      </c>
      <c r="N3" s="575"/>
    </row>
    <row r="4" spans="2:14" ht="20.25">
      <c r="B4" s="580" t="s">
        <v>600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</row>
    <row r="5" spans="2:14" ht="20.25">
      <c r="B5" s="580" t="s">
        <v>601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</row>
    <row r="6" spans="2:14" ht="12.75">
      <c r="B6" s="145"/>
      <c r="C6" s="142"/>
      <c r="N6" s="146" t="s">
        <v>602</v>
      </c>
    </row>
    <row r="7" spans="1:14" ht="55.5" customHeight="1">
      <c r="A7" s="582" t="s">
        <v>217</v>
      </c>
      <c r="B7" s="147" t="s">
        <v>603</v>
      </c>
      <c r="C7" s="148" t="s">
        <v>604</v>
      </c>
      <c r="D7" s="581" t="s">
        <v>420</v>
      </c>
      <c r="E7" s="581"/>
      <c r="F7" s="581"/>
      <c r="G7" s="581" t="s">
        <v>421</v>
      </c>
      <c r="H7" s="581"/>
      <c r="I7" s="581"/>
      <c r="J7" s="581"/>
      <c r="K7" s="581"/>
      <c r="L7" s="581"/>
      <c r="M7" s="581"/>
      <c r="N7" s="612" t="s">
        <v>422</v>
      </c>
    </row>
    <row r="8" spans="1:14" ht="14.25" customHeight="1">
      <c r="A8" s="582"/>
      <c r="B8" s="582" t="s">
        <v>218</v>
      </c>
      <c r="C8" s="552" t="s">
        <v>219</v>
      </c>
      <c r="D8" s="608" t="s">
        <v>423</v>
      </c>
      <c r="E8" s="608" t="s">
        <v>424</v>
      </c>
      <c r="F8" s="608"/>
      <c r="G8" s="608" t="s">
        <v>423</v>
      </c>
      <c r="H8" s="607" t="s">
        <v>425</v>
      </c>
      <c r="I8" s="608" t="s">
        <v>424</v>
      </c>
      <c r="J8" s="608"/>
      <c r="K8" s="607" t="s">
        <v>426</v>
      </c>
      <c r="L8" s="607" t="s">
        <v>424</v>
      </c>
      <c r="M8" s="607"/>
      <c r="N8" s="612"/>
    </row>
    <row r="9" spans="1:14" ht="13.5" customHeight="1">
      <c r="A9" s="582"/>
      <c r="B9" s="582"/>
      <c r="C9" s="552"/>
      <c r="D9" s="608"/>
      <c r="E9" s="607" t="s">
        <v>427</v>
      </c>
      <c r="F9" s="607" t="s">
        <v>428</v>
      </c>
      <c r="G9" s="608"/>
      <c r="H9" s="607"/>
      <c r="I9" s="607" t="s">
        <v>427</v>
      </c>
      <c r="J9" s="607" t="s">
        <v>428</v>
      </c>
      <c r="K9" s="607"/>
      <c r="L9" s="607" t="s">
        <v>429</v>
      </c>
      <c r="M9" s="79" t="s">
        <v>424</v>
      </c>
      <c r="N9" s="612"/>
    </row>
    <row r="10" spans="1:14" ht="162.75" customHeight="1">
      <c r="A10" s="582"/>
      <c r="B10" s="582"/>
      <c r="C10" s="552"/>
      <c r="D10" s="608"/>
      <c r="E10" s="607"/>
      <c r="F10" s="607"/>
      <c r="G10" s="608"/>
      <c r="H10" s="607"/>
      <c r="I10" s="607"/>
      <c r="J10" s="607"/>
      <c r="K10" s="607"/>
      <c r="L10" s="607"/>
      <c r="M10" s="149" t="s">
        <v>430</v>
      </c>
      <c r="N10" s="612"/>
    </row>
    <row r="11" spans="1:14" ht="25.5" customHeight="1">
      <c r="A11" s="150" t="s">
        <v>220</v>
      </c>
      <c r="B11" s="150" t="s">
        <v>221</v>
      </c>
      <c r="C11" s="151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>
        <v>13</v>
      </c>
      <c r="N11" s="152" t="s">
        <v>222</v>
      </c>
    </row>
    <row r="12" spans="1:14" s="157" customFormat="1" ht="24.75" customHeight="1">
      <c r="A12" s="153" t="s">
        <v>223</v>
      </c>
      <c r="B12" s="153" t="s">
        <v>605</v>
      </c>
      <c r="C12" s="154" t="s">
        <v>606</v>
      </c>
      <c r="D12" s="155">
        <f>D13</f>
        <v>34000</v>
      </c>
      <c r="E12" s="155">
        <f aca="true" t="shared" si="0" ref="E12:M13">E13</f>
        <v>0</v>
      </c>
      <c r="F12" s="155">
        <f t="shared" si="0"/>
        <v>0</v>
      </c>
      <c r="G12" s="155">
        <f t="shared" si="0"/>
        <v>0</v>
      </c>
      <c r="H12" s="155">
        <f t="shared" si="0"/>
        <v>0</v>
      </c>
      <c r="I12" s="155">
        <f t="shared" si="0"/>
        <v>0</v>
      </c>
      <c r="J12" s="155">
        <f t="shared" si="0"/>
        <v>0</v>
      </c>
      <c r="K12" s="155">
        <f t="shared" si="0"/>
        <v>0</v>
      </c>
      <c r="L12" s="155">
        <f t="shared" si="0"/>
        <v>0</v>
      </c>
      <c r="M12" s="155">
        <f t="shared" si="0"/>
        <v>0</v>
      </c>
      <c r="N12" s="155">
        <f>D12+G12</f>
        <v>34000</v>
      </c>
    </row>
    <row r="13" spans="1:14" s="157" customFormat="1" ht="24.75" customHeight="1">
      <c r="A13" s="153" t="s">
        <v>224</v>
      </c>
      <c r="B13" s="153" t="s">
        <v>605</v>
      </c>
      <c r="C13" s="154" t="s">
        <v>606</v>
      </c>
      <c r="D13" s="155">
        <f>D14</f>
        <v>34000</v>
      </c>
      <c r="E13" s="155">
        <f t="shared" si="0"/>
        <v>0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 t="shared" si="0"/>
        <v>0</v>
      </c>
      <c r="J13" s="155">
        <f t="shared" si="0"/>
        <v>0</v>
      </c>
      <c r="K13" s="155">
        <f t="shared" si="0"/>
        <v>0</v>
      </c>
      <c r="L13" s="155">
        <f t="shared" si="0"/>
        <v>0</v>
      </c>
      <c r="M13" s="155">
        <f t="shared" si="0"/>
        <v>0</v>
      </c>
      <c r="N13" s="155">
        <f>N12</f>
        <v>34000</v>
      </c>
    </row>
    <row r="14" spans="1:14" s="159" customFormat="1" ht="16.5">
      <c r="A14" s="91" t="s">
        <v>225</v>
      </c>
      <c r="B14" s="91" t="s">
        <v>584</v>
      </c>
      <c r="C14" s="92" t="s">
        <v>609</v>
      </c>
      <c r="D14" s="123">
        <v>34000</v>
      </c>
      <c r="E14" s="160"/>
      <c r="F14" s="160"/>
      <c r="G14" s="158"/>
      <c r="H14" s="160"/>
      <c r="I14" s="160"/>
      <c r="J14" s="160"/>
      <c r="K14" s="160"/>
      <c r="L14" s="160"/>
      <c r="M14" s="160"/>
      <c r="N14" s="158">
        <f>SUM(G14,D14)</f>
        <v>34000</v>
      </c>
    </row>
    <row r="15" spans="1:14" s="159" customFormat="1" ht="47.25">
      <c r="A15" s="576"/>
      <c r="B15" s="91" t="s">
        <v>380</v>
      </c>
      <c r="C15" s="117" t="s">
        <v>586</v>
      </c>
      <c r="D15" s="123">
        <v>34000</v>
      </c>
      <c r="E15" s="160"/>
      <c r="F15" s="160"/>
      <c r="G15" s="158"/>
      <c r="H15" s="160"/>
      <c r="I15" s="160"/>
      <c r="J15" s="160"/>
      <c r="K15" s="160"/>
      <c r="L15" s="160"/>
      <c r="M15" s="160"/>
      <c r="N15" s="158">
        <f>SUM(G15,D15)</f>
        <v>34000</v>
      </c>
    </row>
    <row r="16" spans="1:14" s="159" customFormat="1" ht="23.25" customHeight="1">
      <c r="A16" s="153" t="s">
        <v>226</v>
      </c>
      <c r="B16" s="153" t="s">
        <v>610</v>
      </c>
      <c r="C16" s="154" t="s">
        <v>611</v>
      </c>
      <c r="D16" s="155">
        <f>D17</f>
        <v>30000</v>
      </c>
      <c r="E16" s="155">
        <f aca="true" t="shared" si="1" ref="E16:M17">E17</f>
        <v>0</v>
      </c>
      <c r="F16" s="155">
        <f t="shared" si="1"/>
        <v>0</v>
      </c>
      <c r="G16" s="155">
        <f t="shared" si="1"/>
        <v>0</v>
      </c>
      <c r="H16" s="155">
        <f t="shared" si="1"/>
        <v>0</v>
      </c>
      <c r="I16" s="155">
        <f t="shared" si="1"/>
        <v>0</v>
      </c>
      <c r="J16" s="155">
        <f t="shared" si="1"/>
        <v>0</v>
      </c>
      <c r="K16" s="155">
        <f t="shared" si="1"/>
        <v>0</v>
      </c>
      <c r="L16" s="155">
        <f t="shared" si="1"/>
        <v>0</v>
      </c>
      <c r="M16" s="155">
        <f t="shared" si="1"/>
        <v>0</v>
      </c>
      <c r="N16" s="155">
        <f>D16+G16</f>
        <v>30000</v>
      </c>
    </row>
    <row r="17" spans="1:14" s="159" customFormat="1" ht="19.5" customHeight="1">
      <c r="A17" s="153" t="s">
        <v>227</v>
      </c>
      <c r="B17" s="153" t="s">
        <v>610</v>
      </c>
      <c r="C17" s="154" t="s">
        <v>611</v>
      </c>
      <c r="D17" s="155">
        <f>D18</f>
        <v>30000</v>
      </c>
      <c r="E17" s="155">
        <f t="shared" si="1"/>
        <v>0</v>
      </c>
      <c r="F17" s="155">
        <f t="shared" si="1"/>
        <v>0</v>
      </c>
      <c r="G17" s="155">
        <f t="shared" si="1"/>
        <v>0</v>
      </c>
      <c r="H17" s="155">
        <f t="shared" si="1"/>
        <v>0</v>
      </c>
      <c r="I17" s="155">
        <f t="shared" si="1"/>
        <v>0</v>
      </c>
      <c r="J17" s="155">
        <f t="shared" si="1"/>
        <v>0</v>
      </c>
      <c r="K17" s="155">
        <f t="shared" si="1"/>
        <v>0</v>
      </c>
      <c r="L17" s="155">
        <f t="shared" si="1"/>
        <v>0</v>
      </c>
      <c r="M17" s="155">
        <f t="shared" si="1"/>
        <v>0</v>
      </c>
      <c r="N17" s="155">
        <f>D17+G17</f>
        <v>30000</v>
      </c>
    </row>
    <row r="18" spans="1:14" s="159" customFormat="1" ht="16.5">
      <c r="A18" s="91" t="s">
        <v>228</v>
      </c>
      <c r="B18" s="91" t="s">
        <v>584</v>
      </c>
      <c r="C18" s="117" t="s">
        <v>585</v>
      </c>
      <c r="D18" s="123">
        <v>30000</v>
      </c>
      <c r="E18" s="160"/>
      <c r="F18" s="160"/>
      <c r="G18" s="158"/>
      <c r="H18" s="160"/>
      <c r="I18" s="160"/>
      <c r="J18" s="160"/>
      <c r="K18" s="160"/>
      <c r="L18" s="160"/>
      <c r="M18" s="160"/>
      <c r="N18" s="158">
        <f>SUM(G18,D18)</f>
        <v>30000</v>
      </c>
    </row>
    <row r="19" spans="1:14" s="159" customFormat="1" ht="31.5">
      <c r="A19" s="577"/>
      <c r="B19" s="163"/>
      <c r="C19" s="101" t="s">
        <v>587</v>
      </c>
      <c r="D19" s="123">
        <v>30000</v>
      </c>
      <c r="E19" s="160"/>
      <c r="F19" s="160"/>
      <c r="G19" s="158"/>
      <c r="H19" s="160"/>
      <c r="I19" s="160"/>
      <c r="J19" s="160"/>
      <c r="K19" s="160"/>
      <c r="L19" s="160"/>
      <c r="M19" s="160"/>
      <c r="N19" s="158">
        <f>SUM(G19,D19)</f>
        <v>30000</v>
      </c>
    </row>
    <row r="20" spans="1:14" s="165" customFormat="1" ht="47.25">
      <c r="A20" s="153" t="s">
        <v>229</v>
      </c>
      <c r="B20" s="153" t="s">
        <v>612</v>
      </c>
      <c r="C20" s="164" t="s">
        <v>613</v>
      </c>
      <c r="D20" s="155">
        <f>D21</f>
        <v>70529</v>
      </c>
      <c r="E20" s="155">
        <f aca="true" t="shared" si="2" ref="E20:M20">E25</f>
        <v>0</v>
      </c>
      <c r="F20" s="155">
        <f t="shared" si="2"/>
        <v>0</v>
      </c>
      <c r="G20" s="155">
        <f t="shared" si="2"/>
        <v>0</v>
      </c>
      <c r="H20" s="155">
        <f t="shared" si="2"/>
        <v>0</v>
      </c>
      <c r="I20" s="155">
        <f t="shared" si="2"/>
        <v>0</v>
      </c>
      <c r="J20" s="155">
        <f t="shared" si="2"/>
        <v>0</v>
      </c>
      <c r="K20" s="155">
        <f t="shared" si="2"/>
        <v>0</v>
      </c>
      <c r="L20" s="155">
        <f t="shared" si="2"/>
        <v>0</v>
      </c>
      <c r="M20" s="155">
        <f t="shared" si="2"/>
        <v>0</v>
      </c>
      <c r="N20" s="155">
        <f>D20+G20</f>
        <v>70529</v>
      </c>
    </row>
    <row r="21" spans="1:14" s="165" customFormat="1" ht="47.25">
      <c r="A21" s="153" t="s">
        <v>230</v>
      </c>
      <c r="B21" s="153" t="s">
        <v>612</v>
      </c>
      <c r="C21" s="164" t="s">
        <v>613</v>
      </c>
      <c r="D21" s="155">
        <f>D22+D25</f>
        <v>70529</v>
      </c>
      <c r="E21" s="155">
        <f aca="true" t="shared" si="3" ref="E21:M21">E20</f>
        <v>0</v>
      </c>
      <c r="F21" s="155">
        <f t="shared" si="3"/>
        <v>0</v>
      </c>
      <c r="G21" s="155">
        <f t="shared" si="3"/>
        <v>0</v>
      </c>
      <c r="H21" s="155">
        <f t="shared" si="3"/>
        <v>0</v>
      </c>
      <c r="I21" s="155">
        <f t="shared" si="3"/>
        <v>0</v>
      </c>
      <c r="J21" s="155">
        <f t="shared" si="3"/>
        <v>0</v>
      </c>
      <c r="K21" s="155">
        <f t="shared" si="3"/>
        <v>0</v>
      </c>
      <c r="L21" s="155">
        <f t="shared" si="3"/>
        <v>0</v>
      </c>
      <c r="M21" s="155">
        <f t="shared" si="3"/>
        <v>0</v>
      </c>
      <c r="N21" s="155">
        <f>D21+G21</f>
        <v>70529</v>
      </c>
    </row>
    <row r="22" spans="1:14" s="165" customFormat="1" ht="16.5">
      <c r="A22" s="91" t="s">
        <v>231</v>
      </c>
      <c r="B22" s="91"/>
      <c r="C22" s="118" t="s">
        <v>232</v>
      </c>
      <c r="D22" s="166">
        <f>D23</f>
        <v>67000</v>
      </c>
      <c r="E22" s="110"/>
      <c r="F22" s="110"/>
      <c r="G22" s="167"/>
      <c r="H22" s="162"/>
      <c r="I22" s="110"/>
      <c r="J22" s="110"/>
      <c r="K22" s="110"/>
      <c r="L22" s="110"/>
      <c r="M22" s="110"/>
      <c r="N22" s="158">
        <f>SUM(G22,D22)</f>
        <v>67000</v>
      </c>
    </row>
    <row r="23" spans="1:14" s="165" customFormat="1" ht="16.5">
      <c r="A23" s="91" t="s">
        <v>233</v>
      </c>
      <c r="B23" s="91" t="s">
        <v>532</v>
      </c>
      <c r="C23" s="118" t="s">
        <v>234</v>
      </c>
      <c r="D23" s="166">
        <v>67000</v>
      </c>
      <c r="E23" s="110"/>
      <c r="F23" s="110"/>
      <c r="G23" s="167"/>
      <c r="H23" s="162"/>
      <c r="I23" s="110"/>
      <c r="J23" s="110"/>
      <c r="K23" s="110"/>
      <c r="L23" s="110"/>
      <c r="M23" s="110"/>
      <c r="N23" s="158">
        <f>SUM(G23,D23)</f>
        <v>67000</v>
      </c>
    </row>
    <row r="24" spans="1:14" s="165" customFormat="1" ht="78.75">
      <c r="A24" s="91"/>
      <c r="B24" s="163" t="s">
        <v>380</v>
      </c>
      <c r="C24" s="106" t="s">
        <v>534</v>
      </c>
      <c r="D24" s="166">
        <v>67000</v>
      </c>
      <c r="E24" s="110"/>
      <c r="F24" s="110"/>
      <c r="G24" s="167"/>
      <c r="H24" s="162"/>
      <c r="I24" s="110"/>
      <c r="J24" s="110"/>
      <c r="K24" s="110"/>
      <c r="L24" s="110"/>
      <c r="M24" s="110"/>
      <c r="N24" s="158">
        <f>SUM(G24,D24)</f>
        <v>67000</v>
      </c>
    </row>
    <row r="25" spans="1:14" ht="54" customHeight="1">
      <c r="A25" s="91" t="s">
        <v>235</v>
      </c>
      <c r="B25" s="91" t="s">
        <v>584</v>
      </c>
      <c r="C25" s="118" t="s">
        <v>588</v>
      </c>
      <c r="D25" s="166">
        <v>3529</v>
      </c>
      <c r="E25" s="110"/>
      <c r="F25" s="110"/>
      <c r="G25" s="167"/>
      <c r="H25" s="162"/>
      <c r="I25" s="110"/>
      <c r="J25" s="110"/>
      <c r="K25" s="110"/>
      <c r="L25" s="110"/>
      <c r="M25" s="110"/>
      <c r="N25" s="158">
        <f>SUM(G25,D25)</f>
        <v>3529</v>
      </c>
    </row>
    <row r="26" spans="1:14" ht="54" customHeight="1">
      <c r="A26" s="153" t="s">
        <v>236</v>
      </c>
      <c r="B26" s="153" t="s">
        <v>614</v>
      </c>
      <c r="C26" s="164" t="s">
        <v>615</v>
      </c>
      <c r="D26" s="155">
        <f>D27</f>
        <v>23100</v>
      </c>
      <c r="E26" s="155">
        <f aca="true" t="shared" si="4" ref="E26:M26">E27</f>
        <v>0</v>
      </c>
      <c r="F26" s="155">
        <f t="shared" si="4"/>
        <v>0</v>
      </c>
      <c r="G26" s="155">
        <f t="shared" si="4"/>
        <v>0</v>
      </c>
      <c r="H26" s="155">
        <f t="shared" si="4"/>
        <v>0</v>
      </c>
      <c r="I26" s="155">
        <f t="shared" si="4"/>
        <v>0</v>
      </c>
      <c r="J26" s="155">
        <f t="shared" si="4"/>
        <v>0</v>
      </c>
      <c r="K26" s="155">
        <f t="shared" si="4"/>
        <v>0</v>
      </c>
      <c r="L26" s="155">
        <f t="shared" si="4"/>
        <v>0</v>
      </c>
      <c r="M26" s="155">
        <f t="shared" si="4"/>
        <v>0</v>
      </c>
      <c r="N26" s="155">
        <f>D26+G26</f>
        <v>23100</v>
      </c>
    </row>
    <row r="27" spans="1:14" ht="54" customHeight="1">
      <c r="A27" s="153" t="s">
        <v>237</v>
      </c>
      <c r="B27" s="153" t="s">
        <v>614</v>
      </c>
      <c r="C27" s="164" t="s">
        <v>615</v>
      </c>
      <c r="D27" s="155">
        <f>D28</f>
        <v>23100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>
        <f>D27+G27</f>
        <v>23100</v>
      </c>
    </row>
    <row r="28" spans="1:14" ht="48.75" customHeight="1">
      <c r="A28" s="91" t="s">
        <v>238</v>
      </c>
      <c r="B28" s="91" t="s">
        <v>562</v>
      </c>
      <c r="C28" s="95" t="s">
        <v>239</v>
      </c>
      <c r="D28" s="166">
        <f>D29</f>
        <v>23100</v>
      </c>
      <c r="E28" s="110"/>
      <c r="F28" s="110"/>
      <c r="G28" s="167"/>
      <c r="H28" s="162"/>
      <c r="I28" s="110"/>
      <c r="J28" s="110"/>
      <c r="K28" s="110"/>
      <c r="L28" s="110"/>
      <c r="M28" s="110"/>
      <c r="N28" s="167">
        <f>SUM(G28,D28)</f>
        <v>23100</v>
      </c>
    </row>
    <row r="29" spans="1:14" ht="38.25" customHeight="1">
      <c r="A29" s="91"/>
      <c r="B29" s="91" t="s">
        <v>380</v>
      </c>
      <c r="C29" s="95" t="s">
        <v>564</v>
      </c>
      <c r="D29" s="166">
        <v>23100</v>
      </c>
      <c r="E29" s="110"/>
      <c r="F29" s="110"/>
      <c r="G29" s="167"/>
      <c r="H29" s="162"/>
      <c r="I29" s="110"/>
      <c r="J29" s="110"/>
      <c r="K29" s="110"/>
      <c r="L29" s="110"/>
      <c r="M29" s="110"/>
      <c r="N29" s="167">
        <f>SUM(G29,D29)</f>
        <v>23100</v>
      </c>
    </row>
    <row r="30" spans="1:14" s="157" customFormat="1" ht="31.5">
      <c r="A30" s="153" t="s">
        <v>240</v>
      </c>
      <c r="B30" s="153" t="s">
        <v>618</v>
      </c>
      <c r="C30" s="578" t="s">
        <v>619</v>
      </c>
      <c r="D30" s="155">
        <f>D31</f>
        <v>2028294.1</v>
      </c>
      <c r="E30" s="155">
        <f aca="true" t="shared" si="5" ref="E30:M30">E31</f>
        <v>0</v>
      </c>
      <c r="F30" s="155">
        <f t="shared" si="5"/>
        <v>0</v>
      </c>
      <c r="G30" s="155">
        <f t="shared" si="5"/>
        <v>2288073.25</v>
      </c>
      <c r="H30" s="155">
        <f t="shared" si="5"/>
        <v>0</v>
      </c>
      <c r="I30" s="155">
        <f t="shared" si="5"/>
        <v>0</v>
      </c>
      <c r="J30" s="155">
        <f t="shared" si="5"/>
        <v>0</v>
      </c>
      <c r="K30" s="155">
        <f t="shared" si="5"/>
        <v>2288073.25</v>
      </c>
      <c r="L30" s="155">
        <f t="shared" si="5"/>
        <v>2288073.25</v>
      </c>
      <c r="M30" s="155">
        <f t="shared" si="5"/>
        <v>0</v>
      </c>
      <c r="N30" s="155">
        <f>D30+G30</f>
        <v>4316367.35</v>
      </c>
    </row>
    <row r="31" spans="1:14" s="157" customFormat="1" ht="31.5">
      <c r="A31" s="153">
        <v>1010000</v>
      </c>
      <c r="B31" s="153" t="s">
        <v>618</v>
      </c>
      <c r="C31" s="578" t="s">
        <v>619</v>
      </c>
      <c r="D31" s="155">
        <f>D32+D33+D34+D35+D36+D37+D38+D39+D40+D41+D42+D43+D45+D47</f>
        <v>2028294.1</v>
      </c>
      <c r="E31" s="155">
        <f aca="true" t="shared" si="6" ref="E31:M31">E32+E33+E34+E35+E36+E37+E38+E39+E40+E41+E42+E43+E45+E47</f>
        <v>0</v>
      </c>
      <c r="F31" s="155">
        <f t="shared" si="6"/>
        <v>0</v>
      </c>
      <c r="G31" s="155">
        <f t="shared" si="6"/>
        <v>2288073.25</v>
      </c>
      <c r="H31" s="155">
        <f t="shared" si="6"/>
        <v>0</v>
      </c>
      <c r="I31" s="155">
        <f t="shared" si="6"/>
        <v>0</v>
      </c>
      <c r="J31" s="155">
        <f t="shared" si="6"/>
        <v>0</v>
      </c>
      <c r="K31" s="155">
        <f t="shared" si="6"/>
        <v>2288073.25</v>
      </c>
      <c r="L31" s="155">
        <f t="shared" si="6"/>
        <v>2288073.25</v>
      </c>
      <c r="M31" s="155">
        <f t="shared" si="6"/>
        <v>0</v>
      </c>
      <c r="N31" s="155">
        <f>D31+G31</f>
        <v>4316367.35</v>
      </c>
    </row>
    <row r="32" spans="1:14" ht="63">
      <c r="A32" s="91" t="s">
        <v>241</v>
      </c>
      <c r="B32" s="91" t="s">
        <v>434</v>
      </c>
      <c r="C32" s="92" t="s">
        <v>242</v>
      </c>
      <c r="D32" s="167">
        <v>216012.92</v>
      </c>
      <c r="E32" s="171"/>
      <c r="F32" s="171"/>
      <c r="G32" s="167">
        <v>28808.2</v>
      </c>
      <c r="H32" s="171"/>
      <c r="I32" s="171"/>
      <c r="J32" s="171"/>
      <c r="K32" s="171">
        <v>28808.2</v>
      </c>
      <c r="L32" s="171">
        <v>28808.2</v>
      </c>
      <c r="M32" s="171"/>
      <c r="N32" s="167">
        <f aca="true" t="shared" si="7" ref="N32:N47">SUM(G32,D32)</f>
        <v>244821.12000000002</v>
      </c>
    </row>
    <row r="33" spans="1:14" ht="63">
      <c r="A33" s="91" t="s">
        <v>243</v>
      </c>
      <c r="B33" s="91" t="s">
        <v>436</v>
      </c>
      <c r="C33" s="92" t="s">
        <v>244</v>
      </c>
      <c r="D33" s="167">
        <v>200194.22</v>
      </c>
      <c r="E33" s="171"/>
      <c r="F33" s="171"/>
      <c r="G33" s="167">
        <v>48000</v>
      </c>
      <c r="H33" s="171"/>
      <c r="I33" s="171"/>
      <c r="J33" s="171"/>
      <c r="K33" s="171">
        <v>48000</v>
      </c>
      <c r="L33" s="171">
        <v>48000</v>
      </c>
      <c r="M33" s="171"/>
      <c r="N33" s="167">
        <f t="shared" si="7"/>
        <v>248194.22</v>
      </c>
    </row>
    <row r="34" spans="1:14" ht="31.5">
      <c r="A34" s="91" t="s">
        <v>245</v>
      </c>
      <c r="B34" s="91" t="s">
        <v>438</v>
      </c>
      <c r="C34" s="92" t="s">
        <v>246</v>
      </c>
      <c r="D34" s="167">
        <v>35153.63</v>
      </c>
      <c r="E34" s="171"/>
      <c r="F34" s="171"/>
      <c r="G34" s="167">
        <v>158924.56</v>
      </c>
      <c r="H34" s="171"/>
      <c r="I34" s="171"/>
      <c r="J34" s="171"/>
      <c r="K34" s="171">
        <v>158924.56</v>
      </c>
      <c r="L34" s="171">
        <v>158924.56</v>
      </c>
      <c r="M34" s="171"/>
      <c r="N34" s="167">
        <f t="shared" si="7"/>
        <v>194078.19</v>
      </c>
    </row>
    <row r="35" spans="1:14" ht="94.5">
      <c r="A35" s="91" t="s">
        <v>247</v>
      </c>
      <c r="B35" s="91" t="s">
        <v>440</v>
      </c>
      <c r="C35" s="92" t="s">
        <v>248</v>
      </c>
      <c r="D35" s="167">
        <v>460770.25</v>
      </c>
      <c r="E35" s="171"/>
      <c r="F35" s="171"/>
      <c r="G35" s="167">
        <v>750701.22</v>
      </c>
      <c r="H35" s="171"/>
      <c r="I35" s="171"/>
      <c r="J35" s="171"/>
      <c r="K35" s="171">
        <v>750701.22</v>
      </c>
      <c r="L35" s="171">
        <v>750701.22</v>
      </c>
      <c r="M35" s="171"/>
      <c r="N35" s="167">
        <f t="shared" si="7"/>
        <v>1211471.47</v>
      </c>
    </row>
    <row r="36" spans="1:14" ht="141.75">
      <c r="A36" s="91" t="s">
        <v>249</v>
      </c>
      <c r="B36" s="91" t="s">
        <v>442</v>
      </c>
      <c r="C36" s="579" t="s">
        <v>250</v>
      </c>
      <c r="D36" s="167">
        <v>451816.8</v>
      </c>
      <c r="E36" s="171"/>
      <c r="F36" s="171"/>
      <c r="G36" s="167">
        <v>36203</v>
      </c>
      <c r="H36" s="171"/>
      <c r="I36" s="171"/>
      <c r="J36" s="171"/>
      <c r="K36" s="171">
        <v>36203</v>
      </c>
      <c r="L36" s="171">
        <v>36203</v>
      </c>
      <c r="M36" s="171"/>
      <c r="N36" s="167">
        <f t="shared" si="7"/>
        <v>488019.8</v>
      </c>
    </row>
    <row r="37" spans="1:14" ht="47.25">
      <c r="A37" s="91" t="s">
        <v>251</v>
      </c>
      <c r="B37" s="91" t="s">
        <v>444</v>
      </c>
      <c r="C37" s="92" t="s">
        <v>252</v>
      </c>
      <c r="D37" s="167">
        <v>143595.41</v>
      </c>
      <c r="E37" s="171"/>
      <c r="F37" s="171"/>
      <c r="G37" s="167"/>
      <c r="H37" s="171"/>
      <c r="I37" s="171"/>
      <c r="J37" s="171"/>
      <c r="K37" s="171"/>
      <c r="L37" s="171"/>
      <c r="M37" s="171"/>
      <c r="N37" s="167">
        <f t="shared" si="7"/>
        <v>143595.41</v>
      </c>
    </row>
    <row r="38" spans="1:14" ht="31.5">
      <c r="A38" s="91" t="s">
        <v>253</v>
      </c>
      <c r="B38" s="91" t="s">
        <v>446</v>
      </c>
      <c r="C38" s="92" t="s">
        <v>254</v>
      </c>
      <c r="D38" s="167">
        <v>253577.82</v>
      </c>
      <c r="E38" s="171"/>
      <c r="F38" s="171"/>
      <c r="G38" s="167">
        <v>1236451.27</v>
      </c>
      <c r="H38" s="171"/>
      <c r="I38" s="171"/>
      <c r="J38" s="171"/>
      <c r="K38" s="171">
        <v>1236451.27</v>
      </c>
      <c r="L38" s="171">
        <v>1236451.27</v>
      </c>
      <c r="M38" s="171"/>
      <c r="N38" s="167">
        <f t="shared" si="7"/>
        <v>1490029.09</v>
      </c>
    </row>
    <row r="39" spans="1:14" ht="78.75">
      <c r="A39" s="91" t="s">
        <v>255</v>
      </c>
      <c r="B39" s="91" t="s">
        <v>450</v>
      </c>
      <c r="C39" s="92" t="s">
        <v>256</v>
      </c>
      <c r="D39" s="167">
        <v>145924.28</v>
      </c>
      <c r="E39" s="171"/>
      <c r="F39" s="171"/>
      <c r="G39" s="167">
        <v>6485</v>
      </c>
      <c r="H39" s="171"/>
      <c r="I39" s="171"/>
      <c r="J39" s="171"/>
      <c r="K39" s="171">
        <v>6485</v>
      </c>
      <c r="L39" s="171">
        <v>6485</v>
      </c>
      <c r="M39" s="171"/>
      <c r="N39" s="167">
        <f t="shared" si="7"/>
        <v>152409.28</v>
      </c>
    </row>
    <row r="40" spans="1:14" ht="47.25">
      <c r="A40" s="91" t="s">
        <v>257</v>
      </c>
      <c r="B40" s="91" t="s">
        <v>454</v>
      </c>
      <c r="C40" s="92" t="s">
        <v>258</v>
      </c>
      <c r="D40" s="167">
        <v>30118.99</v>
      </c>
      <c r="E40" s="172"/>
      <c r="F40" s="167"/>
      <c r="G40" s="167"/>
      <c r="H40" s="167"/>
      <c r="I40" s="167"/>
      <c r="J40" s="167"/>
      <c r="K40" s="167"/>
      <c r="L40" s="167"/>
      <c r="M40" s="167"/>
      <c r="N40" s="167">
        <f t="shared" si="7"/>
        <v>30118.99</v>
      </c>
    </row>
    <row r="41" spans="1:14" ht="31.5">
      <c r="A41" s="91" t="s">
        <v>259</v>
      </c>
      <c r="B41" s="91" t="s">
        <v>457</v>
      </c>
      <c r="C41" s="92" t="s">
        <v>260</v>
      </c>
      <c r="D41" s="167">
        <v>64925.01</v>
      </c>
      <c r="E41" s="171"/>
      <c r="F41" s="171"/>
      <c r="G41" s="167"/>
      <c r="H41" s="171"/>
      <c r="I41" s="171"/>
      <c r="J41" s="171"/>
      <c r="K41" s="171"/>
      <c r="L41" s="171"/>
      <c r="M41" s="171"/>
      <c r="N41" s="167">
        <f t="shared" si="7"/>
        <v>64925.01</v>
      </c>
    </row>
    <row r="42" spans="1:14" ht="31.5">
      <c r="A42" s="91" t="s">
        <v>261</v>
      </c>
      <c r="B42" s="91" t="s">
        <v>459</v>
      </c>
      <c r="C42" s="92" t="s">
        <v>262</v>
      </c>
      <c r="D42" s="167">
        <v>7889.87</v>
      </c>
      <c r="E42" s="171"/>
      <c r="F42" s="171"/>
      <c r="G42" s="167"/>
      <c r="H42" s="171"/>
      <c r="I42" s="171"/>
      <c r="J42" s="171"/>
      <c r="K42" s="171"/>
      <c r="L42" s="171"/>
      <c r="M42" s="171"/>
      <c r="N42" s="167">
        <f t="shared" si="7"/>
        <v>7889.87</v>
      </c>
    </row>
    <row r="43" spans="1:14" ht="16.5">
      <c r="A43" s="91" t="s">
        <v>263</v>
      </c>
      <c r="B43" s="91" t="s">
        <v>461</v>
      </c>
      <c r="C43" s="92" t="s">
        <v>23</v>
      </c>
      <c r="D43" s="173">
        <v>5928</v>
      </c>
      <c r="E43" s="173"/>
      <c r="F43" s="173"/>
      <c r="G43" s="173">
        <v>15000</v>
      </c>
      <c r="H43" s="173"/>
      <c r="I43" s="173"/>
      <c r="J43" s="173"/>
      <c r="K43" s="172">
        <v>15000</v>
      </c>
      <c r="L43" s="172">
        <v>15000</v>
      </c>
      <c r="M43" s="172"/>
      <c r="N43" s="167">
        <f t="shared" si="7"/>
        <v>20928</v>
      </c>
    </row>
    <row r="44" spans="1:14" ht="31.5">
      <c r="A44" s="91" t="s">
        <v>264</v>
      </c>
      <c r="B44" s="91"/>
      <c r="C44" s="96" t="s">
        <v>265</v>
      </c>
      <c r="D44" s="173">
        <f>D45</f>
        <v>1000</v>
      </c>
      <c r="E44" s="173"/>
      <c r="F44" s="173"/>
      <c r="G44" s="173"/>
      <c r="H44" s="173"/>
      <c r="I44" s="173"/>
      <c r="J44" s="173"/>
      <c r="K44" s="172"/>
      <c r="L44" s="172"/>
      <c r="M44" s="172"/>
      <c r="N44" s="167">
        <f t="shared" si="7"/>
        <v>1000</v>
      </c>
    </row>
    <row r="45" spans="1:14" ht="47.25">
      <c r="A45" s="91" t="s">
        <v>266</v>
      </c>
      <c r="B45" s="91" t="s">
        <v>536</v>
      </c>
      <c r="C45" s="96" t="s">
        <v>267</v>
      </c>
      <c r="D45" s="178">
        <v>1000</v>
      </c>
      <c r="E45" s="160"/>
      <c r="F45" s="160"/>
      <c r="G45" s="167"/>
      <c r="H45" s="158"/>
      <c r="I45" s="158"/>
      <c r="J45" s="158"/>
      <c r="K45" s="158"/>
      <c r="L45" s="158"/>
      <c r="M45" s="158"/>
      <c r="N45" s="167">
        <f t="shared" si="7"/>
        <v>1000</v>
      </c>
    </row>
    <row r="46" spans="1:14" ht="31.5">
      <c r="A46" s="91" t="s">
        <v>268</v>
      </c>
      <c r="B46" s="583"/>
      <c r="C46" s="584" t="s">
        <v>269</v>
      </c>
      <c r="D46" s="178">
        <f>D47</f>
        <v>11386.9</v>
      </c>
      <c r="E46" s="585"/>
      <c r="F46" s="585"/>
      <c r="G46" s="178">
        <f aca="true" t="shared" si="8" ref="G46:M46">G47</f>
        <v>7500</v>
      </c>
      <c r="H46" s="178">
        <f t="shared" si="8"/>
        <v>0</v>
      </c>
      <c r="I46" s="178">
        <f t="shared" si="8"/>
        <v>0</v>
      </c>
      <c r="J46" s="178">
        <f t="shared" si="8"/>
        <v>0</v>
      </c>
      <c r="K46" s="178">
        <f t="shared" si="8"/>
        <v>7500</v>
      </c>
      <c r="L46" s="178">
        <f t="shared" si="8"/>
        <v>7500</v>
      </c>
      <c r="M46" s="178">
        <f t="shared" si="8"/>
        <v>0</v>
      </c>
      <c r="N46" s="167">
        <f t="shared" si="7"/>
        <v>18886.9</v>
      </c>
    </row>
    <row r="47" spans="1:14" ht="47.25">
      <c r="A47" s="91" t="s">
        <v>270</v>
      </c>
      <c r="B47" s="91" t="s">
        <v>542</v>
      </c>
      <c r="C47" s="92" t="s">
        <v>271</v>
      </c>
      <c r="D47" s="173">
        <v>11386.9</v>
      </c>
      <c r="E47" s="171"/>
      <c r="F47" s="171"/>
      <c r="G47" s="167">
        <v>7500</v>
      </c>
      <c r="H47" s="171"/>
      <c r="I47" s="171"/>
      <c r="J47" s="171"/>
      <c r="K47" s="171">
        <v>7500</v>
      </c>
      <c r="L47" s="171">
        <v>7500</v>
      </c>
      <c r="M47" s="171"/>
      <c r="N47" s="167">
        <f t="shared" si="7"/>
        <v>18886.9</v>
      </c>
    </row>
    <row r="48" spans="1:14" ht="31.5">
      <c r="A48" s="153">
        <v>1100000</v>
      </c>
      <c r="B48" s="153" t="s">
        <v>624</v>
      </c>
      <c r="C48" s="164" t="s">
        <v>625</v>
      </c>
      <c r="D48" s="155">
        <f>D49</f>
        <v>59529.95</v>
      </c>
      <c r="E48" s="155">
        <f aca="true" t="shared" si="9" ref="E48:M48">E49</f>
        <v>0</v>
      </c>
      <c r="F48" s="155">
        <f t="shared" si="9"/>
        <v>0</v>
      </c>
      <c r="G48" s="155">
        <f t="shared" si="9"/>
        <v>0</v>
      </c>
      <c r="H48" s="155">
        <f t="shared" si="9"/>
        <v>0</v>
      </c>
      <c r="I48" s="155">
        <f t="shared" si="9"/>
        <v>0</v>
      </c>
      <c r="J48" s="155">
        <f t="shared" si="9"/>
        <v>0</v>
      </c>
      <c r="K48" s="155">
        <f t="shared" si="9"/>
        <v>0</v>
      </c>
      <c r="L48" s="155">
        <f t="shared" si="9"/>
        <v>0</v>
      </c>
      <c r="M48" s="155">
        <f t="shared" si="9"/>
        <v>0</v>
      </c>
      <c r="N48" s="155">
        <f>G48+D48</f>
        <v>59529.95</v>
      </c>
    </row>
    <row r="49" spans="1:14" ht="31.5">
      <c r="A49" s="153">
        <v>1110000</v>
      </c>
      <c r="B49" s="153" t="s">
        <v>624</v>
      </c>
      <c r="C49" s="164" t="s">
        <v>625</v>
      </c>
      <c r="D49" s="155">
        <f>D50+D52+D55</f>
        <v>59529.95</v>
      </c>
      <c r="E49" s="155">
        <f aca="true" t="shared" si="10" ref="E49:M49">E50+E52+E55</f>
        <v>0</v>
      </c>
      <c r="F49" s="155">
        <f t="shared" si="10"/>
        <v>0</v>
      </c>
      <c r="G49" s="155">
        <f t="shared" si="10"/>
        <v>0</v>
      </c>
      <c r="H49" s="155">
        <f t="shared" si="10"/>
        <v>0</v>
      </c>
      <c r="I49" s="155">
        <f t="shared" si="10"/>
        <v>0</v>
      </c>
      <c r="J49" s="155">
        <f t="shared" si="10"/>
        <v>0</v>
      </c>
      <c r="K49" s="155">
        <f t="shared" si="10"/>
        <v>0</v>
      </c>
      <c r="L49" s="155">
        <f t="shared" si="10"/>
        <v>0</v>
      </c>
      <c r="M49" s="155">
        <f t="shared" si="10"/>
        <v>0</v>
      </c>
      <c r="N49" s="155">
        <f>D49+G49</f>
        <v>59529.95</v>
      </c>
    </row>
    <row r="50" spans="1:14" ht="31.5">
      <c r="A50" s="91" t="s">
        <v>272</v>
      </c>
      <c r="B50" s="91"/>
      <c r="C50" s="95" t="s">
        <v>273</v>
      </c>
      <c r="D50" s="161">
        <f>D51</f>
        <v>8750.86</v>
      </c>
      <c r="E50" s="162"/>
      <c r="F50" s="162"/>
      <c r="G50" s="161"/>
      <c r="H50" s="161"/>
      <c r="I50" s="161"/>
      <c r="J50" s="161"/>
      <c r="K50" s="161">
        <f>K51</f>
        <v>0</v>
      </c>
      <c r="L50" s="161">
        <f>L51</f>
        <v>0</v>
      </c>
      <c r="M50" s="161">
        <f>M51</f>
        <v>0</v>
      </c>
      <c r="N50" s="158">
        <f aca="true" t="shared" si="11" ref="N50:N57">SUM(G50,D50)</f>
        <v>8750.86</v>
      </c>
    </row>
    <row r="51" spans="1:14" ht="47.25">
      <c r="A51" s="91" t="s">
        <v>274</v>
      </c>
      <c r="B51" s="91" t="s">
        <v>628</v>
      </c>
      <c r="C51" s="95" t="s">
        <v>275</v>
      </c>
      <c r="D51" s="161">
        <v>8750.86</v>
      </c>
      <c r="E51" s="162"/>
      <c r="F51" s="162"/>
      <c r="G51" s="161"/>
      <c r="H51" s="161"/>
      <c r="I51" s="161"/>
      <c r="J51" s="161"/>
      <c r="K51" s="162"/>
      <c r="L51" s="162"/>
      <c r="M51" s="162"/>
      <c r="N51" s="158">
        <f t="shared" si="11"/>
        <v>8750.86</v>
      </c>
    </row>
    <row r="52" spans="1:14" ht="31.5">
      <c r="A52" s="91" t="s">
        <v>276</v>
      </c>
      <c r="B52" s="91"/>
      <c r="C52" s="96" t="s">
        <v>277</v>
      </c>
      <c r="D52" s="161">
        <f>D53+D54</f>
        <v>47255.59</v>
      </c>
      <c r="E52" s="162"/>
      <c r="F52" s="162"/>
      <c r="G52" s="161"/>
      <c r="H52" s="161"/>
      <c r="I52" s="161"/>
      <c r="J52" s="161"/>
      <c r="K52" s="161">
        <f>K53+K54</f>
        <v>0</v>
      </c>
      <c r="L52" s="161">
        <f>L53+L54</f>
        <v>0</v>
      </c>
      <c r="M52" s="161">
        <f>M53+M54</f>
        <v>0</v>
      </c>
      <c r="N52" s="158">
        <f t="shared" si="11"/>
        <v>47255.59</v>
      </c>
    </row>
    <row r="53" spans="1:14" ht="31.5">
      <c r="A53" s="91" t="s">
        <v>278</v>
      </c>
      <c r="B53" s="91" t="s">
        <v>501</v>
      </c>
      <c r="C53" s="96" t="s">
        <v>279</v>
      </c>
      <c r="D53" s="158">
        <v>27335.1</v>
      </c>
      <c r="E53" s="110"/>
      <c r="F53" s="160"/>
      <c r="G53" s="161"/>
      <c r="H53" s="160"/>
      <c r="I53" s="158"/>
      <c r="J53" s="158"/>
      <c r="K53" s="158"/>
      <c r="L53" s="158"/>
      <c r="M53" s="158"/>
      <c r="N53" s="158">
        <f t="shared" si="11"/>
        <v>27335.1</v>
      </c>
    </row>
    <row r="54" spans="1:14" ht="31.5">
      <c r="A54" s="91" t="s">
        <v>280</v>
      </c>
      <c r="B54" s="91" t="s">
        <v>503</v>
      </c>
      <c r="C54" s="96" t="s">
        <v>281</v>
      </c>
      <c r="D54" s="158">
        <v>19920.49</v>
      </c>
      <c r="E54" s="110"/>
      <c r="F54" s="158"/>
      <c r="G54" s="161"/>
      <c r="H54" s="158"/>
      <c r="I54" s="158"/>
      <c r="J54" s="158"/>
      <c r="K54" s="158"/>
      <c r="L54" s="158"/>
      <c r="M54" s="158"/>
      <c r="N54" s="158">
        <f t="shared" si="11"/>
        <v>19920.49</v>
      </c>
    </row>
    <row r="55" spans="1:14" ht="16.5">
      <c r="A55" s="91" t="s">
        <v>282</v>
      </c>
      <c r="B55" s="91"/>
      <c r="C55" s="586" t="s">
        <v>38</v>
      </c>
      <c r="D55" s="158">
        <f>D56+D57</f>
        <v>3523.5</v>
      </c>
      <c r="E55" s="110"/>
      <c r="F55" s="110"/>
      <c r="G55" s="158"/>
      <c r="H55" s="158"/>
      <c r="I55" s="158"/>
      <c r="J55" s="158"/>
      <c r="K55" s="158">
        <f>K56+K57</f>
        <v>0</v>
      </c>
      <c r="L55" s="158">
        <f>L56+L57</f>
        <v>0</v>
      </c>
      <c r="M55" s="158">
        <f>M56+M57</f>
        <v>0</v>
      </c>
      <c r="N55" s="158">
        <f t="shared" si="11"/>
        <v>3523.5</v>
      </c>
    </row>
    <row r="56" spans="1:14" ht="31.5">
      <c r="A56" s="91" t="s">
        <v>283</v>
      </c>
      <c r="B56" s="91" t="s">
        <v>507</v>
      </c>
      <c r="C56" s="96" t="s">
        <v>284</v>
      </c>
      <c r="D56" s="158">
        <v>453.5</v>
      </c>
      <c r="E56" s="110"/>
      <c r="F56" s="160"/>
      <c r="G56" s="161"/>
      <c r="H56" s="158"/>
      <c r="I56" s="158"/>
      <c r="J56" s="158"/>
      <c r="K56" s="158"/>
      <c r="L56" s="158"/>
      <c r="M56" s="158"/>
      <c r="N56" s="158">
        <f t="shared" si="11"/>
        <v>453.5</v>
      </c>
    </row>
    <row r="57" spans="1:14" ht="50.25" customHeight="1">
      <c r="A57" s="91">
        <v>1113502</v>
      </c>
      <c r="B57" s="91" t="s">
        <v>507</v>
      </c>
      <c r="C57" s="96" t="s">
        <v>285</v>
      </c>
      <c r="D57" s="158">
        <v>3070</v>
      </c>
      <c r="E57" s="110"/>
      <c r="F57" s="160"/>
      <c r="G57" s="161"/>
      <c r="H57" s="158"/>
      <c r="I57" s="158"/>
      <c r="J57" s="158"/>
      <c r="K57" s="158"/>
      <c r="L57" s="158"/>
      <c r="M57" s="158"/>
      <c r="N57" s="158">
        <f t="shared" si="11"/>
        <v>3070</v>
      </c>
    </row>
    <row r="58" spans="1:14" ht="31.5">
      <c r="A58" s="153">
        <v>1300000</v>
      </c>
      <c r="B58" s="153" t="s">
        <v>629</v>
      </c>
      <c r="C58" s="578" t="s">
        <v>630</v>
      </c>
      <c r="D58" s="155">
        <f>D59</f>
        <v>296846.42</v>
      </c>
      <c r="E58" s="155">
        <f aca="true" t="shared" si="12" ref="E58:M58">E59</f>
        <v>0</v>
      </c>
      <c r="F58" s="155">
        <f t="shared" si="12"/>
        <v>0</v>
      </c>
      <c r="G58" s="155">
        <f t="shared" si="12"/>
        <v>137724</v>
      </c>
      <c r="H58" s="155">
        <f t="shared" si="12"/>
        <v>0</v>
      </c>
      <c r="I58" s="155">
        <f t="shared" si="12"/>
        <v>0</v>
      </c>
      <c r="J58" s="155">
        <f t="shared" si="12"/>
        <v>0</v>
      </c>
      <c r="K58" s="155">
        <f t="shared" si="12"/>
        <v>137724</v>
      </c>
      <c r="L58" s="155">
        <f t="shared" si="12"/>
        <v>137724</v>
      </c>
      <c r="M58" s="155">
        <f t="shared" si="12"/>
        <v>0</v>
      </c>
      <c r="N58" s="155">
        <f>D58+G58</f>
        <v>434570.42</v>
      </c>
    </row>
    <row r="59" spans="1:14" ht="31.5">
      <c r="A59" s="153">
        <v>1310000</v>
      </c>
      <c r="B59" s="153" t="s">
        <v>629</v>
      </c>
      <c r="C59" s="578" t="s">
        <v>630</v>
      </c>
      <c r="D59" s="155">
        <f>D60+D62+D65</f>
        <v>296846.42</v>
      </c>
      <c r="E59" s="155">
        <f aca="true" t="shared" si="13" ref="E59:M59">E60+E62+E65</f>
        <v>0</v>
      </c>
      <c r="F59" s="155">
        <f t="shared" si="13"/>
        <v>0</v>
      </c>
      <c r="G59" s="155">
        <f t="shared" si="13"/>
        <v>137724</v>
      </c>
      <c r="H59" s="155">
        <f t="shared" si="13"/>
        <v>0</v>
      </c>
      <c r="I59" s="155">
        <f t="shared" si="13"/>
        <v>0</v>
      </c>
      <c r="J59" s="155">
        <f t="shared" si="13"/>
        <v>0</v>
      </c>
      <c r="K59" s="155">
        <f t="shared" si="13"/>
        <v>137724</v>
      </c>
      <c r="L59" s="155">
        <f t="shared" si="13"/>
        <v>137724</v>
      </c>
      <c r="M59" s="155">
        <f t="shared" si="13"/>
        <v>0</v>
      </c>
      <c r="N59" s="155">
        <f>D59+G59</f>
        <v>434570.42</v>
      </c>
    </row>
    <row r="60" spans="1:14" ht="31.5">
      <c r="A60" s="91" t="s">
        <v>286</v>
      </c>
      <c r="B60" s="91"/>
      <c r="C60" s="104" t="s">
        <v>269</v>
      </c>
      <c r="D60" s="158">
        <f>D61</f>
        <v>8411.58</v>
      </c>
      <c r="E60" s="110"/>
      <c r="F60" s="110"/>
      <c r="G60" s="158"/>
      <c r="H60" s="158"/>
      <c r="I60" s="158"/>
      <c r="J60" s="158"/>
      <c r="K60" s="110"/>
      <c r="L60" s="110"/>
      <c r="M60" s="110"/>
      <c r="N60" s="167">
        <f aca="true" t="shared" si="14" ref="N60:N65">SUM(G60,D60)</f>
        <v>8411.58</v>
      </c>
    </row>
    <row r="61" spans="1:14" ht="47.25">
      <c r="A61" s="91" t="s">
        <v>287</v>
      </c>
      <c r="B61" s="91" t="s">
        <v>544</v>
      </c>
      <c r="C61" s="104" t="s">
        <v>288</v>
      </c>
      <c r="D61" s="158">
        <v>8411.58</v>
      </c>
      <c r="E61" s="171"/>
      <c r="F61" s="171"/>
      <c r="G61" s="158"/>
      <c r="H61" s="171"/>
      <c r="I61" s="171"/>
      <c r="J61" s="171"/>
      <c r="K61" s="171"/>
      <c r="L61" s="171"/>
      <c r="M61" s="171"/>
      <c r="N61" s="167">
        <f t="shared" si="14"/>
        <v>8411.58</v>
      </c>
    </row>
    <row r="62" spans="1:14" ht="31.5">
      <c r="A62" s="91" t="s">
        <v>289</v>
      </c>
      <c r="B62" s="583"/>
      <c r="C62" s="587" t="s">
        <v>290</v>
      </c>
      <c r="D62" s="158">
        <f>D63+D64</f>
        <v>214091.81</v>
      </c>
      <c r="E62" s="158">
        <f aca="true" t="shared" si="15" ref="E62:M62">E63+E64</f>
        <v>0</v>
      </c>
      <c r="F62" s="158">
        <f t="shared" si="15"/>
        <v>0</v>
      </c>
      <c r="G62" s="158">
        <f t="shared" si="15"/>
        <v>137724</v>
      </c>
      <c r="H62" s="158">
        <f t="shared" si="15"/>
        <v>0</v>
      </c>
      <c r="I62" s="158">
        <f t="shared" si="15"/>
        <v>0</v>
      </c>
      <c r="J62" s="158">
        <f t="shared" si="15"/>
        <v>0</v>
      </c>
      <c r="K62" s="158">
        <f t="shared" si="15"/>
        <v>137724</v>
      </c>
      <c r="L62" s="158">
        <f t="shared" si="15"/>
        <v>137724</v>
      </c>
      <c r="M62" s="158">
        <f t="shared" si="15"/>
        <v>0</v>
      </c>
      <c r="N62" s="167">
        <f t="shared" si="14"/>
        <v>351815.81</v>
      </c>
    </row>
    <row r="63" spans="1:14" ht="31.5">
      <c r="A63" s="91" t="s">
        <v>291</v>
      </c>
      <c r="B63" s="91" t="s">
        <v>538</v>
      </c>
      <c r="C63" s="96" t="s">
        <v>292</v>
      </c>
      <c r="D63" s="158">
        <v>33911.41</v>
      </c>
      <c r="E63" s="171"/>
      <c r="F63" s="171"/>
      <c r="G63" s="158">
        <v>137724</v>
      </c>
      <c r="H63" s="171"/>
      <c r="I63" s="171"/>
      <c r="J63" s="171"/>
      <c r="K63" s="171">
        <v>137724</v>
      </c>
      <c r="L63" s="171">
        <v>137724</v>
      </c>
      <c r="M63" s="171"/>
      <c r="N63" s="167">
        <f t="shared" si="14"/>
        <v>171635.41</v>
      </c>
    </row>
    <row r="64" spans="1:14" ht="47.25">
      <c r="A64" s="91" t="s">
        <v>293</v>
      </c>
      <c r="B64" s="91" t="s">
        <v>540</v>
      </c>
      <c r="C64" s="96" t="s">
        <v>294</v>
      </c>
      <c r="D64" s="158">
        <v>180180.4</v>
      </c>
      <c r="E64" s="171"/>
      <c r="F64" s="171"/>
      <c r="G64" s="158"/>
      <c r="H64" s="171"/>
      <c r="I64" s="171"/>
      <c r="J64" s="171"/>
      <c r="K64" s="171"/>
      <c r="L64" s="171"/>
      <c r="M64" s="171"/>
      <c r="N64" s="167">
        <f t="shared" si="14"/>
        <v>180180.4</v>
      </c>
    </row>
    <row r="65" spans="1:14" ht="31.5">
      <c r="A65" s="91" t="s">
        <v>295</v>
      </c>
      <c r="B65" s="91" t="s">
        <v>546</v>
      </c>
      <c r="C65" s="104" t="s">
        <v>296</v>
      </c>
      <c r="D65" s="158">
        <v>74343.03</v>
      </c>
      <c r="E65" s="171"/>
      <c r="F65" s="171"/>
      <c r="G65" s="158"/>
      <c r="H65" s="171"/>
      <c r="I65" s="171"/>
      <c r="J65" s="171"/>
      <c r="K65" s="171"/>
      <c r="L65" s="171"/>
      <c r="M65" s="171"/>
      <c r="N65" s="167">
        <f t="shared" si="14"/>
        <v>74343.03</v>
      </c>
    </row>
    <row r="66" spans="1:14" s="157" customFormat="1" ht="31.5">
      <c r="A66" s="153">
        <v>1400000</v>
      </c>
      <c r="B66" s="153" t="s">
        <v>631</v>
      </c>
      <c r="C66" s="578" t="s">
        <v>632</v>
      </c>
      <c r="D66" s="155">
        <f>D67</f>
        <v>632910.2199999999</v>
      </c>
      <c r="E66" s="155">
        <f aca="true" t="shared" si="16" ref="E66:M66">E67</f>
        <v>0</v>
      </c>
      <c r="F66" s="155">
        <f t="shared" si="16"/>
        <v>0</v>
      </c>
      <c r="G66" s="155">
        <f t="shared" si="16"/>
        <v>170009.62</v>
      </c>
      <c r="H66" s="155">
        <f t="shared" si="16"/>
        <v>0</v>
      </c>
      <c r="I66" s="155">
        <f t="shared" si="16"/>
        <v>0</v>
      </c>
      <c r="J66" s="155">
        <f t="shared" si="16"/>
        <v>0</v>
      </c>
      <c r="K66" s="155">
        <f t="shared" si="16"/>
        <v>170009.62</v>
      </c>
      <c r="L66" s="155">
        <f t="shared" si="16"/>
        <v>170009.62</v>
      </c>
      <c r="M66" s="155">
        <f t="shared" si="16"/>
        <v>0</v>
      </c>
      <c r="N66" s="155">
        <f>D66+G66</f>
        <v>802919.8399999999</v>
      </c>
    </row>
    <row r="67" spans="1:14" s="157" customFormat="1" ht="31.5">
      <c r="A67" s="153">
        <v>1410000</v>
      </c>
      <c r="B67" s="153" t="s">
        <v>631</v>
      </c>
      <c r="C67" s="578" t="s">
        <v>632</v>
      </c>
      <c r="D67" s="155">
        <f>D68+D69+D70+D71+D72+D73+D74+D75+D76+D77+D78+D79+D80+D92+D93+D94</f>
        <v>632910.2199999999</v>
      </c>
      <c r="E67" s="155">
        <f aca="true" t="shared" si="17" ref="E67:M67">E68+E69+E70+E71+E72+E73+E74+E75+E76+E77+E78+E79+E80+E92+E93+E94</f>
        <v>0</v>
      </c>
      <c r="F67" s="155">
        <f t="shared" si="17"/>
        <v>0</v>
      </c>
      <c r="G67" s="155">
        <f t="shared" si="17"/>
        <v>170009.62</v>
      </c>
      <c r="H67" s="155">
        <f t="shared" si="17"/>
        <v>0</v>
      </c>
      <c r="I67" s="155">
        <f t="shared" si="17"/>
        <v>0</v>
      </c>
      <c r="J67" s="155">
        <f t="shared" si="17"/>
        <v>0</v>
      </c>
      <c r="K67" s="155">
        <f t="shared" si="17"/>
        <v>170009.62</v>
      </c>
      <c r="L67" s="155">
        <f t="shared" si="17"/>
        <v>170009.62</v>
      </c>
      <c r="M67" s="155">
        <f t="shared" si="17"/>
        <v>0</v>
      </c>
      <c r="N67" s="155">
        <f>D67+G67</f>
        <v>802919.8399999999</v>
      </c>
    </row>
    <row r="68" spans="1:18" s="157" customFormat="1" ht="37.5" customHeight="1">
      <c r="A68" s="91" t="s">
        <v>297</v>
      </c>
      <c r="B68" s="91" t="s">
        <v>448</v>
      </c>
      <c r="C68" s="95" t="s">
        <v>298</v>
      </c>
      <c r="D68" s="167">
        <v>158443.9</v>
      </c>
      <c r="E68" s="162"/>
      <c r="F68" s="162"/>
      <c r="G68" s="161">
        <v>117809.62</v>
      </c>
      <c r="H68" s="162"/>
      <c r="I68" s="162"/>
      <c r="J68" s="162"/>
      <c r="K68" s="162">
        <v>117809.62</v>
      </c>
      <c r="L68" s="162">
        <v>117809.62</v>
      </c>
      <c r="M68" s="162"/>
      <c r="N68" s="167">
        <f aca="true" t="shared" si="18" ref="N68:N94">SUM(G68,D68)</f>
        <v>276253.52</v>
      </c>
      <c r="O68" s="182"/>
      <c r="P68" s="182"/>
      <c r="Q68" s="182"/>
      <c r="R68" s="182"/>
    </row>
    <row r="69" spans="1:18" s="157" customFormat="1" ht="78.75">
      <c r="A69" s="91" t="s">
        <v>299</v>
      </c>
      <c r="B69" s="91" t="s">
        <v>450</v>
      </c>
      <c r="C69" s="95" t="s">
        <v>256</v>
      </c>
      <c r="D69" s="167">
        <v>14782.37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7">
        <f t="shared" si="18"/>
        <v>14782.37</v>
      </c>
      <c r="O69" s="182"/>
      <c r="P69" s="182"/>
      <c r="Q69" s="182"/>
      <c r="R69" s="182"/>
    </row>
    <row r="70" spans="1:18" s="157" customFormat="1" ht="47.25">
      <c r="A70" s="91" t="s">
        <v>300</v>
      </c>
      <c r="B70" s="91" t="s">
        <v>452</v>
      </c>
      <c r="C70" s="95" t="s">
        <v>301</v>
      </c>
      <c r="D70" s="167">
        <v>502.15</v>
      </c>
      <c r="E70" s="162"/>
      <c r="F70" s="162"/>
      <c r="G70" s="161"/>
      <c r="H70" s="162"/>
      <c r="I70" s="161"/>
      <c r="J70" s="161"/>
      <c r="K70" s="161"/>
      <c r="L70" s="161"/>
      <c r="M70" s="161"/>
      <c r="N70" s="167">
        <f t="shared" si="18"/>
        <v>502.15</v>
      </c>
      <c r="O70" s="182"/>
      <c r="P70" s="182"/>
      <c r="Q70" s="182"/>
      <c r="R70" s="182"/>
    </row>
    <row r="71" spans="1:14" ht="31.5">
      <c r="A71" s="91" t="s">
        <v>302</v>
      </c>
      <c r="B71" s="91" t="s">
        <v>466</v>
      </c>
      <c r="C71" s="95" t="s">
        <v>303</v>
      </c>
      <c r="D71" s="167">
        <v>130269.43</v>
      </c>
      <c r="E71" s="110"/>
      <c r="F71" s="110"/>
      <c r="G71" s="167"/>
      <c r="H71" s="110"/>
      <c r="I71" s="110"/>
      <c r="J71" s="110"/>
      <c r="K71" s="110"/>
      <c r="L71" s="110"/>
      <c r="M71" s="110"/>
      <c r="N71" s="167">
        <f t="shared" si="18"/>
        <v>130269.43</v>
      </c>
    </row>
    <row r="72" spans="1:14" ht="31.5">
      <c r="A72" s="91" t="s">
        <v>304</v>
      </c>
      <c r="B72" s="91" t="s">
        <v>468</v>
      </c>
      <c r="C72" s="95" t="s">
        <v>305</v>
      </c>
      <c r="D72" s="167">
        <v>157878.1</v>
      </c>
      <c r="E72" s="110"/>
      <c r="F72" s="110"/>
      <c r="G72" s="167">
        <v>3900</v>
      </c>
      <c r="H72" s="110"/>
      <c r="I72" s="110"/>
      <c r="J72" s="110"/>
      <c r="K72" s="110">
        <v>3900</v>
      </c>
      <c r="L72" s="110">
        <v>3900</v>
      </c>
      <c r="M72" s="110"/>
      <c r="N72" s="167">
        <f t="shared" si="18"/>
        <v>161778.1</v>
      </c>
    </row>
    <row r="73" spans="1:14" ht="31.5">
      <c r="A73" s="91" t="s">
        <v>306</v>
      </c>
      <c r="B73" s="91" t="s">
        <v>470</v>
      </c>
      <c r="C73" s="95" t="s">
        <v>307</v>
      </c>
      <c r="D73" s="167">
        <v>24586.05</v>
      </c>
      <c r="E73" s="171"/>
      <c r="F73" s="171"/>
      <c r="G73" s="167"/>
      <c r="H73" s="171"/>
      <c r="I73" s="171"/>
      <c r="J73" s="171"/>
      <c r="K73" s="171"/>
      <c r="L73" s="171"/>
      <c r="M73" s="171"/>
      <c r="N73" s="167">
        <f t="shared" si="18"/>
        <v>24586.05</v>
      </c>
    </row>
    <row r="74" spans="1:14" ht="47.25">
      <c r="A74" s="91" t="s">
        <v>308</v>
      </c>
      <c r="B74" s="91" t="s">
        <v>472</v>
      </c>
      <c r="C74" s="95" t="s">
        <v>309</v>
      </c>
      <c r="D74" s="167">
        <v>47883.95</v>
      </c>
      <c r="E74" s="171"/>
      <c r="F74" s="171"/>
      <c r="G74" s="167"/>
      <c r="H74" s="171"/>
      <c r="I74" s="171"/>
      <c r="J74" s="171"/>
      <c r="K74" s="171"/>
      <c r="L74" s="171"/>
      <c r="M74" s="171"/>
      <c r="N74" s="167">
        <f t="shared" si="18"/>
        <v>47883.95</v>
      </c>
    </row>
    <row r="75" spans="1:14" ht="47.25">
      <c r="A75" s="91" t="s">
        <v>310</v>
      </c>
      <c r="B75" s="91" t="s">
        <v>474</v>
      </c>
      <c r="C75" s="95" t="s">
        <v>311</v>
      </c>
      <c r="D75" s="167">
        <v>6664.61</v>
      </c>
      <c r="E75" s="171"/>
      <c r="F75" s="171"/>
      <c r="G75" s="167"/>
      <c r="H75" s="171"/>
      <c r="I75" s="171"/>
      <c r="J75" s="171"/>
      <c r="K75" s="171"/>
      <c r="L75" s="171"/>
      <c r="M75" s="171"/>
      <c r="N75" s="167">
        <f t="shared" si="18"/>
        <v>6664.61</v>
      </c>
    </row>
    <row r="76" spans="1:14" ht="21" customHeight="1">
      <c r="A76" s="91" t="s">
        <v>312</v>
      </c>
      <c r="B76" s="91" t="s">
        <v>476</v>
      </c>
      <c r="C76" s="95" t="s">
        <v>313</v>
      </c>
      <c r="D76" s="167">
        <v>10666.2</v>
      </c>
      <c r="E76" s="160"/>
      <c r="F76" s="160"/>
      <c r="G76" s="167"/>
      <c r="H76" s="110"/>
      <c r="I76" s="110"/>
      <c r="J76" s="110"/>
      <c r="K76" s="110"/>
      <c r="L76" s="110"/>
      <c r="M76" s="110"/>
      <c r="N76" s="167">
        <f t="shared" si="18"/>
        <v>10666.2</v>
      </c>
    </row>
    <row r="77" spans="1:14" ht="31.5">
      <c r="A77" s="91" t="s">
        <v>314</v>
      </c>
      <c r="B77" s="91" t="s">
        <v>478</v>
      </c>
      <c r="C77" s="95" t="s">
        <v>315</v>
      </c>
      <c r="D77" s="167">
        <v>8879.57</v>
      </c>
      <c r="E77" s="171"/>
      <c r="F77" s="171"/>
      <c r="G77" s="167"/>
      <c r="H77" s="171"/>
      <c r="I77" s="171"/>
      <c r="J77" s="171"/>
      <c r="K77" s="171"/>
      <c r="L77" s="171"/>
      <c r="M77" s="171"/>
      <c r="N77" s="167">
        <f t="shared" si="18"/>
        <v>8879.57</v>
      </c>
    </row>
    <row r="78" spans="1:14" ht="47.25">
      <c r="A78" s="91" t="s">
        <v>316</v>
      </c>
      <c r="B78" s="91" t="s">
        <v>480</v>
      </c>
      <c r="C78" s="95" t="s">
        <v>317</v>
      </c>
      <c r="D78" s="167">
        <v>5291.8</v>
      </c>
      <c r="E78" s="171"/>
      <c r="F78" s="171"/>
      <c r="G78" s="167"/>
      <c r="H78" s="171"/>
      <c r="I78" s="171"/>
      <c r="J78" s="171"/>
      <c r="K78" s="171"/>
      <c r="L78" s="171"/>
      <c r="M78" s="171"/>
      <c r="N78" s="167">
        <f t="shared" si="18"/>
        <v>5291.8</v>
      </c>
    </row>
    <row r="79" spans="1:14" ht="31.5">
      <c r="A79" s="91" t="s">
        <v>318</v>
      </c>
      <c r="B79" s="91" t="s">
        <v>482</v>
      </c>
      <c r="C79" s="95" t="s">
        <v>319</v>
      </c>
      <c r="D79" s="167">
        <v>42468.15</v>
      </c>
      <c r="E79" s="171"/>
      <c r="F79" s="171"/>
      <c r="G79" s="167"/>
      <c r="H79" s="171"/>
      <c r="I79" s="171"/>
      <c r="J79" s="171"/>
      <c r="K79" s="171"/>
      <c r="L79" s="171"/>
      <c r="M79" s="171"/>
      <c r="N79" s="167">
        <f t="shared" si="18"/>
        <v>42468.15</v>
      </c>
    </row>
    <row r="80" spans="1:14" ht="21.75" customHeight="1">
      <c r="A80" s="91" t="s">
        <v>320</v>
      </c>
      <c r="B80" s="91" t="s">
        <v>484</v>
      </c>
      <c r="C80" s="95" t="s">
        <v>485</v>
      </c>
      <c r="D80" s="173">
        <v>15322.37</v>
      </c>
      <c r="E80" s="172"/>
      <c r="F80" s="172"/>
      <c r="G80" s="173"/>
      <c r="H80" s="173"/>
      <c r="I80" s="173"/>
      <c r="J80" s="173"/>
      <c r="K80" s="172"/>
      <c r="L80" s="172"/>
      <c r="M80" s="172"/>
      <c r="N80" s="167">
        <f t="shared" si="18"/>
        <v>15322.37</v>
      </c>
    </row>
    <row r="81" spans="1:14" ht="47.25" hidden="1">
      <c r="A81" s="576"/>
      <c r="B81" s="91"/>
      <c r="C81" s="95" t="s">
        <v>486</v>
      </c>
      <c r="D81" s="167"/>
      <c r="E81" s="171"/>
      <c r="F81" s="171"/>
      <c r="G81" s="167"/>
      <c r="H81" s="172"/>
      <c r="I81" s="172"/>
      <c r="J81" s="172"/>
      <c r="K81" s="172"/>
      <c r="L81" s="172"/>
      <c r="M81" s="172"/>
      <c r="N81" s="167">
        <f t="shared" si="18"/>
        <v>0</v>
      </c>
    </row>
    <row r="82" spans="1:14" ht="18" customHeight="1" hidden="1">
      <c r="A82" s="576"/>
      <c r="B82" s="91"/>
      <c r="C82" s="95" t="s">
        <v>487</v>
      </c>
      <c r="D82" s="167"/>
      <c r="E82" s="171"/>
      <c r="F82" s="171"/>
      <c r="G82" s="167"/>
      <c r="H82" s="171"/>
      <c r="I82" s="171"/>
      <c r="J82" s="171"/>
      <c r="K82" s="171"/>
      <c r="L82" s="171"/>
      <c r="M82" s="171"/>
      <c r="N82" s="167">
        <f t="shared" si="18"/>
        <v>0</v>
      </c>
    </row>
    <row r="83" spans="1:14" ht="47.25" hidden="1">
      <c r="A83" s="576"/>
      <c r="B83" s="91"/>
      <c r="C83" s="95" t="s">
        <v>488</v>
      </c>
      <c r="D83" s="167"/>
      <c r="E83" s="171"/>
      <c r="F83" s="171"/>
      <c r="G83" s="167"/>
      <c r="H83" s="171"/>
      <c r="I83" s="171"/>
      <c r="J83" s="171"/>
      <c r="K83" s="171"/>
      <c r="L83" s="171"/>
      <c r="M83" s="171"/>
      <c r="N83" s="167">
        <f t="shared" si="18"/>
        <v>0</v>
      </c>
    </row>
    <row r="84" spans="1:14" ht="63" hidden="1">
      <c r="A84" s="576"/>
      <c r="B84" s="91"/>
      <c r="C84" s="95" t="s">
        <v>321</v>
      </c>
      <c r="D84" s="167"/>
      <c r="E84" s="171"/>
      <c r="F84" s="171"/>
      <c r="G84" s="167"/>
      <c r="H84" s="171"/>
      <c r="I84" s="171"/>
      <c r="J84" s="171"/>
      <c r="K84" s="171"/>
      <c r="L84" s="171"/>
      <c r="M84" s="171"/>
      <c r="N84" s="167">
        <f t="shared" si="18"/>
        <v>0</v>
      </c>
    </row>
    <row r="85" spans="1:14" ht="9" customHeight="1" hidden="1">
      <c r="A85" s="576"/>
      <c r="B85" s="91"/>
      <c r="C85" s="95" t="s">
        <v>322</v>
      </c>
      <c r="D85" s="167"/>
      <c r="E85" s="171"/>
      <c r="F85" s="171"/>
      <c r="G85" s="167"/>
      <c r="H85" s="171"/>
      <c r="I85" s="171"/>
      <c r="J85" s="171"/>
      <c r="K85" s="171"/>
      <c r="L85" s="171"/>
      <c r="M85" s="171"/>
      <c r="N85" s="167">
        <f t="shared" si="18"/>
        <v>0</v>
      </c>
    </row>
    <row r="86" spans="1:14" ht="31.5" hidden="1">
      <c r="A86" s="576"/>
      <c r="B86" s="91"/>
      <c r="C86" s="95" t="s">
        <v>489</v>
      </c>
      <c r="D86" s="167"/>
      <c r="E86" s="171"/>
      <c r="F86" s="171"/>
      <c r="G86" s="167"/>
      <c r="H86" s="171"/>
      <c r="I86" s="171"/>
      <c r="J86" s="171"/>
      <c r="K86" s="171"/>
      <c r="L86" s="171"/>
      <c r="M86" s="171"/>
      <c r="N86" s="167">
        <f t="shared" si="18"/>
        <v>0</v>
      </c>
    </row>
    <row r="87" spans="1:14" ht="47.25" hidden="1">
      <c r="A87" s="576"/>
      <c r="B87" s="91"/>
      <c r="C87" s="95" t="s">
        <v>490</v>
      </c>
      <c r="D87" s="167"/>
      <c r="E87" s="171"/>
      <c r="F87" s="171"/>
      <c r="G87" s="167"/>
      <c r="H87" s="171"/>
      <c r="I87" s="171"/>
      <c r="J87" s="171"/>
      <c r="K87" s="171"/>
      <c r="L87" s="171"/>
      <c r="M87" s="171"/>
      <c r="N87" s="167">
        <f t="shared" si="18"/>
        <v>0</v>
      </c>
    </row>
    <row r="88" spans="1:14" ht="94.5" hidden="1">
      <c r="A88" s="576"/>
      <c r="B88" s="91"/>
      <c r="C88" s="95" t="s">
        <v>323</v>
      </c>
      <c r="D88" s="167"/>
      <c r="E88" s="171"/>
      <c r="F88" s="171"/>
      <c r="G88" s="167"/>
      <c r="H88" s="171"/>
      <c r="I88" s="171"/>
      <c r="J88" s="171"/>
      <c r="K88" s="171"/>
      <c r="L88" s="171"/>
      <c r="M88" s="171"/>
      <c r="N88" s="167">
        <f t="shared" si="18"/>
        <v>0</v>
      </c>
    </row>
    <row r="89" spans="1:14" ht="78.75" hidden="1">
      <c r="A89" s="576"/>
      <c r="B89" s="91"/>
      <c r="C89" s="95" t="s">
        <v>324</v>
      </c>
      <c r="D89" s="167"/>
      <c r="E89" s="171"/>
      <c r="F89" s="171"/>
      <c r="G89" s="167"/>
      <c r="H89" s="171"/>
      <c r="I89" s="171"/>
      <c r="J89" s="171"/>
      <c r="K89" s="171"/>
      <c r="L89" s="171"/>
      <c r="M89" s="171"/>
      <c r="N89" s="167">
        <f t="shared" si="18"/>
        <v>0</v>
      </c>
    </row>
    <row r="90" spans="1:14" ht="81.75" customHeight="1" hidden="1">
      <c r="A90" s="576"/>
      <c r="B90" s="91"/>
      <c r="C90" s="95" t="s">
        <v>325</v>
      </c>
      <c r="D90" s="167"/>
      <c r="E90" s="171"/>
      <c r="F90" s="171"/>
      <c r="G90" s="167"/>
      <c r="H90" s="171"/>
      <c r="I90" s="171"/>
      <c r="J90" s="171"/>
      <c r="K90" s="171"/>
      <c r="L90" s="171"/>
      <c r="M90" s="171"/>
      <c r="N90" s="167">
        <f t="shared" si="18"/>
        <v>0</v>
      </c>
    </row>
    <row r="91" spans="1:14" ht="78.75" hidden="1">
      <c r="A91" s="576"/>
      <c r="B91" s="91"/>
      <c r="C91" s="95" t="s">
        <v>326</v>
      </c>
      <c r="D91" s="167"/>
      <c r="E91" s="171"/>
      <c r="F91" s="171"/>
      <c r="G91" s="167"/>
      <c r="H91" s="171"/>
      <c r="I91" s="171"/>
      <c r="J91" s="171"/>
      <c r="K91" s="171"/>
      <c r="L91" s="171"/>
      <c r="M91" s="171"/>
      <c r="N91" s="167">
        <f t="shared" si="18"/>
        <v>0</v>
      </c>
    </row>
    <row r="92" spans="1:14" ht="78.75">
      <c r="A92" s="91" t="s">
        <v>327</v>
      </c>
      <c r="B92" s="91" t="s">
        <v>491</v>
      </c>
      <c r="C92" s="95" t="s">
        <v>492</v>
      </c>
      <c r="D92" s="167">
        <v>2271.57</v>
      </c>
      <c r="E92" s="171"/>
      <c r="F92" s="171"/>
      <c r="G92" s="167"/>
      <c r="H92" s="171"/>
      <c r="I92" s="171"/>
      <c r="J92" s="171"/>
      <c r="K92" s="171"/>
      <c r="L92" s="171"/>
      <c r="M92" s="171"/>
      <c r="N92" s="167">
        <f t="shared" si="18"/>
        <v>2271.57</v>
      </c>
    </row>
    <row r="93" spans="1:14" ht="16.5">
      <c r="A93" s="91" t="s">
        <v>328</v>
      </c>
      <c r="B93" s="91" t="s">
        <v>520</v>
      </c>
      <c r="C93" s="95" t="s">
        <v>638</v>
      </c>
      <c r="D93" s="167">
        <v>7000</v>
      </c>
      <c r="E93" s="171"/>
      <c r="F93" s="171"/>
      <c r="G93" s="167"/>
      <c r="H93" s="171"/>
      <c r="I93" s="171"/>
      <c r="J93" s="171"/>
      <c r="K93" s="171"/>
      <c r="L93" s="171"/>
      <c r="M93" s="171"/>
      <c r="N93" s="167">
        <f t="shared" si="18"/>
        <v>7000</v>
      </c>
    </row>
    <row r="94" spans="1:14" ht="47.25">
      <c r="A94" s="91" t="s">
        <v>329</v>
      </c>
      <c r="B94" s="91" t="s">
        <v>571</v>
      </c>
      <c r="C94" s="95" t="s">
        <v>330</v>
      </c>
      <c r="D94" s="167"/>
      <c r="E94" s="171"/>
      <c r="F94" s="171"/>
      <c r="G94" s="167">
        <v>48300</v>
      </c>
      <c r="H94" s="171"/>
      <c r="I94" s="171"/>
      <c r="J94" s="171"/>
      <c r="K94" s="171">
        <v>48300</v>
      </c>
      <c r="L94" s="171">
        <v>48300</v>
      </c>
      <c r="M94" s="171"/>
      <c r="N94" s="167">
        <f t="shared" si="18"/>
        <v>48300</v>
      </c>
    </row>
    <row r="95" spans="1:30" s="157" customFormat="1" ht="47.25">
      <c r="A95" s="153">
        <v>1500000</v>
      </c>
      <c r="B95" s="153" t="s">
        <v>641</v>
      </c>
      <c r="C95" s="578" t="s">
        <v>642</v>
      </c>
      <c r="D95" s="155">
        <f>D96</f>
        <v>2780524.4899999998</v>
      </c>
      <c r="E95" s="155">
        <f aca="true" t="shared" si="19" ref="E95:M95">E96</f>
        <v>526700</v>
      </c>
      <c r="F95" s="155">
        <f t="shared" si="19"/>
        <v>178000</v>
      </c>
      <c r="G95" s="155">
        <f t="shared" si="19"/>
        <v>0</v>
      </c>
      <c r="H95" s="155">
        <f t="shared" si="19"/>
        <v>0</v>
      </c>
      <c r="I95" s="155">
        <f t="shared" si="19"/>
        <v>0</v>
      </c>
      <c r="J95" s="155">
        <f t="shared" si="19"/>
        <v>0</v>
      </c>
      <c r="K95" s="155">
        <f t="shared" si="19"/>
        <v>0</v>
      </c>
      <c r="L95" s="155">
        <f t="shared" si="19"/>
        <v>0</v>
      </c>
      <c r="M95" s="155">
        <f t="shared" si="19"/>
        <v>0</v>
      </c>
      <c r="N95" s="155">
        <f>D95+G95</f>
        <v>2780524.4899999998</v>
      </c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</row>
    <row r="96" spans="1:30" s="157" customFormat="1" ht="47.25">
      <c r="A96" s="153">
        <v>1510000</v>
      </c>
      <c r="B96" s="153" t="s">
        <v>641</v>
      </c>
      <c r="C96" s="578" t="s">
        <v>642</v>
      </c>
      <c r="D96" s="155">
        <f>D97+D101+D102</f>
        <v>2780524.4899999998</v>
      </c>
      <c r="E96" s="155">
        <f aca="true" t="shared" si="20" ref="E96:M96">E97+E101+E102</f>
        <v>526700</v>
      </c>
      <c r="F96" s="155">
        <f t="shared" si="20"/>
        <v>178000</v>
      </c>
      <c r="G96" s="155">
        <f t="shared" si="20"/>
        <v>0</v>
      </c>
      <c r="H96" s="155">
        <f t="shared" si="20"/>
        <v>0</v>
      </c>
      <c r="I96" s="155">
        <f t="shared" si="20"/>
        <v>0</v>
      </c>
      <c r="J96" s="155">
        <f t="shared" si="20"/>
        <v>0</v>
      </c>
      <c r="K96" s="155">
        <f t="shared" si="20"/>
        <v>0</v>
      </c>
      <c r="L96" s="155">
        <f t="shared" si="20"/>
        <v>0</v>
      </c>
      <c r="M96" s="155">
        <f t="shared" si="20"/>
        <v>0</v>
      </c>
      <c r="N96" s="155">
        <f>D96+G96</f>
        <v>2780524.4899999998</v>
      </c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</row>
    <row r="97" spans="1:30" ht="63">
      <c r="A97" s="91" t="s">
        <v>331</v>
      </c>
      <c r="B97" s="449"/>
      <c r="C97" s="584" t="s">
        <v>332</v>
      </c>
      <c r="D97" s="158">
        <f>D98+D99+D100</f>
        <v>2726101.0999999996</v>
      </c>
      <c r="E97" s="158">
        <f aca="true" t="shared" si="21" ref="E97:M97">E98+E99+E100</f>
        <v>526700</v>
      </c>
      <c r="F97" s="158">
        <f t="shared" si="21"/>
        <v>178000</v>
      </c>
      <c r="G97" s="158">
        <f t="shared" si="21"/>
        <v>0</v>
      </c>
      <c r="H97" s="158">
        <f t="shared" si="21"/>
        <v>0</v>
      </c>
      <c r="I97" s="158">
        <f t="shared" si="21"/>
        <v>0</v>
      </c>
      <c r="J97" s="158">
        <f t="shared" si="21"/>
        <v>0</v>
      </c>
      <c r="K97" s="158">
        <f t="shared" si="21"/>
        <v>0</v>
      </c>
      <c r="L97" s="158">
        <f t="shared" si="21"/>
        <v>0</v>
      </c>
      <c r="M97" s="158">
        <f t="shared" si="21"/>
        <v>0</v>
      </c>
      <c r="N97" s="167">
        <f aca="true" t="shared" si="22" ref="N97:N102">SUM(G97,D97)</f>
        <v>2726101.0999999996</v>
      </c>
      <c r="O97" s="588"/>
      <c r="P97" s="589"/>
      <c r="Q97" s="590"/>
      <c r="R97" s="590"/>
      <c r="S97" s="590"/>
      <c r="T97" s="590"/>
      <c r="U97" s="589"/>
      <c r="V97" s="590"/>
      <c r="W97" s="590"/>
      <c r="X97" s="590"/>
      <c r="Y97" s="590"/>
      <c r="Z97" s="590"/>
      <c r="AA97" s="589"/>
      <c r="AB97" s="184"/>
      <c r="AC97" s="184"/>
      <c r="AD97" s="184"/>
    </row>
    <row r="98" spans="1:30" ht="63">
      <c r="A98" s="91" t="s">
        <v>333</v>
      </c>
      <c r="B98" s="91" t="s">
        <v>495</v>
      </c>
      <c r="C98" s="101" t="s">
        <v>334</v>
      </c>
      <c r="D98" s="158">
        <v>29600.86</v>
      </c>
      <c r="E98" s="160"/>
      <c r="F98" s="160"/>
      <c r="G98" s="123"/>
      <c r="H98" s="160"/>
      <c r="I98" s="160"/>
      <c r="J98" s="160"/>
      <c r="K98" s="160"/>
      <c r="L98" s="160"/>
      <c r="M98" s="158"/>
      <c r="N98" s="167">
        <f t="shared" si="22"/>
        <v>29600.86</v>
      </c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</row>
    <row r="99" spans="1:30" ht="110.25" customHeight="1">
      <c r="A99" s="91" t="s">
        <v>335</v>
      </c>
      <c r="B99" s="91" t="s">
        <v>499</v>
      </c>
      <c r="C99" s="591" t="s">
        <v>336</v>
      </c>
      <c r="D99" s="158">
        <v>371105.44</v>
      </c>
      <c r="E99" s="160"/>
      <c r="F99" s="160"/>
      <c r="G99" s="123"/>
      <c r="H99" s="160"/>
      <c r="I99" s="160"/>
      <c r="J99" s="160"/>
      <c r="K99" s="160"/>
      <c r="L99" s="160"/>
      <c r="M99" s="110"/>
      <c r="N99" s="167">
        <f t="shared" si="22"/>
        <v>371105.44</v>
      </c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</row>
    <row r="100" spans="1:30" ht="31.5">
      <c r="A100" s="91" t="s">
        <v>337</v>
      </c>
      <c r="B100" s="91" t="s">
        <v>511</v>
      </c>
      <c r="C100" s="102" t="s">
        <v>338</v>
      </c>
      <c r="D100" s="158">
        <v>2325394.8</v>
      </c>
      <c r="E100" s="160">
        <v>526700</v>
      </c>
      <c r="F100" s="160">
        <v>178000</v>
      </c>
      <c r="G100" s="123"/>
      <c r="H100" s="160"/>
      <c r="I100" s="160"/>
      <c r="J100" s="160"/>
      <c r="K100" s="160"/>
      <c r="L100" s="160"/>
      <c r="M100" s="110"/>
      <c r="N100" s="167">
        <f t="shared" si="22"/>
        <v>2325394.8</v>
      </c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</row>
    <row r="101" spans="1:30" ht="35.25" customHeight="1">
      <c r="A101" s="91" t="s">
        <v>339</v>
      </c>
      <c r="B101" s="91" t="s">
        <v>513</v>
      </c>
      <c r="C101" s="103" t="s">
        <v>340</v>
      </c>
      <c r="D101" s="158">
        <v>49039.39</v>
      </c>
      <c r="E101" s="160"/>
      <c r="F101" s="160"/>
      <c r="G101" s="123"/>
      <c r="H101" s="158"/>
      <c r="I101" s="158"/>
      <c r="J101" s="158"/>
      <c r="K101" s="110"/>
      <c r="L101" s="110"/>
      <c r="M101" s="110"/>
      <c r="N101" s="167">
        <f t="shared" si="22"/>
        <v>49039.39</v>
      </c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</row>
    <row r="102" spans="1:30" ht="16.5">
      <c r="A102" s="91" t="s">
        <v>341</v>
      </c>
      <c r="B102" s="91" t="s">
        <v>515</v>
      </c>
      <c r="C102" s="103" t="s">
        <v>516</v>
      </c>
      <c r="D102" s="158">
        <v>5384</v>
      </c>
      <c r="E102" s="110"/>
      <c r="F102" s="110"/>
      <c r="G102" s="123"/>
      <c r="H102" s="158"/>
      <c r="I102" s="158"/>
      <c r="J102" s="158"/>
      <c r="K102" s="158"/>
      <c r="L102" s="158"/>
      <c r="M102" s="158"/>
      <c r="N102" s="167">
        <f t="shared" si="22"/>
        <v>5384</v>
      </c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</row>
    <row r="103" spans="1:14" s="157" customFormat="1" ht="31.5">
      <c r="A103" s="153">
        <v>2000000</v>
      </c>
      <c r="B103" s="153" t="s">
        <v>643</v>
      </c>
      <c r="C103" s="578" t="s">
        <v>644</v>
      </c>
      <c r="D103" s="155">
        <f>D104</f>
        <v>25895.75</v>
      </c>
      <c r="E103" s="155">
        <f aca="true" t="shared" si="23" ref="E103:M103">E104</f>
        <v>0</v>
      </c>
      <c r="F103" s="155">
        <f t="shared" si="23"/>
        <v>0</v>
      </c>
      <c r="G103" s="155">
        <f t="shared" si="23"/>
        <v>0</v>
      </c>
      <c r="H103" s="155">
        <f t="shared" si="23"/>
        <v>0</v>
      </c>
      <c r="I103" s="155">
        <f t="shared" si="23"/>
        <v>0</v>
      </c>
      <c r="J103" s="155">
        <f t="shared" si="23"/>
        <v>0</v>
      </c>
      <c r="K103" s="155">
        <f t="shared" si="23"/>
        <v>0</v>
      </c>
      <c r="L103" s="155">
        <f t="shared" si="23"/>
        <v>0</v>
      </c>
      <c r="M103" s="155">
        <f t="shared" si="23"/>
        <v>0</v>
      </c>
      <c r="N103" s="155">
        <f>D103+G103</f>
        <v>25895.75</v>
      </c>
    </row>
    <row r="104" spans="1:14" s="157" customFormat="1" ht="31.5">
      <c r="A104" s="153">
        <v>2010000</v>
      </c>
      <c r="B104" s="153" t="s">
        <v>643</v>
      </c>
      <c r="C104" s="578" t="s">
        <v>644</v>
      </c>
      <c r="D104" s="155">
        <f>D106</f>
        <v>25895.75</v>
      </c>
      <c r="E104" s="155">
        <f aca="true" t="shared" si="24" ref="E104:M104">E106</f>
        <v>0</v>
      </c>
      <c r="F104" s="155">
        <f t="shared" si="24"/>
        <v>0</v>
      </c>
      <c r="G104" s="155">
        <f t="shared" si="24"/>
        <v>0</v>
      </c>
      <c r="H104" s="155">
        <f t="shared" si="24"/>
        <v>0</v>
      </c>
      <c r="I104" s="155">
        <f t="shared" si="24"/>
        <v>0</v>
      </c>
      <c r="J104" s="155">
        <f t="shared" si="24"/>
        <v>0</v>
      </c>
      <c r="K104" s="155">
        <f t="shared" si="24"/>
        <v>0</v>
      </c>
      <c r="L104" s="155">
        <f t="shared" si="24"/>
        <v>0</v>
      </c>
      <c r="M104" s="155">
        <f t="shared" si="24"/>
        <v>0</v>
      </c>
      <c r="N104" s="155">
        <f>D104+G104</f>
        <v>25895.75</v>
      </c>
    </row>
    <row r="105" spans="1:14" s="157" customFormat="1" ht="31.5">
      <c r="A105" s="91" t="s">
        <v>272</v>
      </c>
      <c r="B105" s="91"/>
      <c r="C105" s="95" t="s">
        <v>273</v>
      </c>
      <c r="D105" s="161">
        <f>D106</f>
        <v>25895.75</v>
      </c>
      <c r="E105" s="162"/>
      <c r="F105" s="162"/>
      <c r="G105" s="161">
        <f aca="true" t="shared" si="25" ref="G105:M105">G106</f>
        <v>0</v>
      </c>
      <c r="H105" s="161">
        <f t="shared" si="25"/>
        <v>0</v>
      </c>
      <c r="I105" s="161">
        <f t="shared" si="25"/>
        <v>0</v>
      </c>
      <c r="J105" s="161">
        <f t="shared" si="25"/>
        <v>0</v>
      </c>
      <c r="K105" s="161">
        <f t="shared" si="25"/>
        <v>0</v>
      </c>
      <c r="L105" s="161">
        <f t="shared" si="25"/>
        <v>0</v>
      </c>
      <c r="M105" s="161">
        <f t="shared" si="25"/>
        <v>0</v>
      </c>
      <c r="N105" s="158">
        <f>SUM(G105,D105)</f>
        <v>25895.75</v>
      </c>
    </row>
    <row r="106" spans="1:14" s="157" customFormat="1" ht="47.25">
      <c r="A106" s="91" t="s">
        <v>342</v>
      </c>
      <c r="B106" s="91" t="s">
        <v>497</v>
      </c>
      <c r="C106" s="103" t="s">
        <v>275</v>
      </c>
      <c r="D106" s="158">
        <v>25895.75</v>
      </c>
      <c r="E106" s="110"/>
      <c r="F106" s="110"/>
      <c r="G106" s="158"/>
      <c r="H106" s="110"/>
      <c r="I106" s="110"/>
      <c r="J106" s="110"/>
      <c r="K106" s="110"/>
      <c r="L106" s="110"/>
      <c r="M106" s="110"/>
      <c r="N106" s="158">
        <f>SUM(G106,D106)</f>
        <v>25895.75</v>
      </c>
    </row>
    <row r="107" spans="1:14" s="157" customFormat="1" ht="31.5">
      <c r="A107" s="153">
        <v>2400000</v>
      </c>
      <c r="B107" s="153" t="s">
        <v>645</v>
      </c>
      <c r="C107" s="578" t="s">
        <v>646</v>
      </c>
      <c r="D107" s="155">
        <f>D108</f>
        <v>526781.3700000001</v>
      </c>
      <c r="E107" s="155">
        <f aca="true" t="shared" si="26" ref="E107:M107">E108</f>
        <v>0</v>
      </c>
      <c r="F107" s="155">
        <f t="shared" si="26"/>
        <v>0</v>
      </c>
      <c r="G107" s="155">
        <f t="shared" si="26"/>
        <v>161674.91999999998</v>
      </c>
      <c r="H107" s="155">
        <f t="shared" si="26"/>
        <v>0</v>
      </c>
      <c r="I107" s="155">
        <f t="shared" si="26"/>
        <v>0</v>
      </c>
      <c r="J107" s="155">
        <f t="shared" si="26"/>
        <v>0</v>
      </c>
      <c r="K107" s="155">
        <f t="shared" si="26"/>
        <v>161674.91999999998</v>
      </c>
      <c r="L107" s="155">
        <f t="shared" si="26"/>
        <v>161674.91999999998</v>
      </c>
      <c r="M107" s="155">
        <f t="shared" si="26"/>
        <v>0</v>
      </c>
      <c r="N107" s="155">
        <f>D107+G107</f>
        <v>688456.29</v>
      </c>
    </row>
    <row r="108" spans="1:14" s="157" customFormat="1" ht="31.5">
      <c r="A108" s="153">
        <v>2410000</v>
      </c>
      <c r="B108" s="153" t="s">
        <v>645</v>
      </c>
      <c r="C108" s="578" t="s">
        <v>646</v>
      </c>
      <c r="D108" s="155">
        <f>D109+D110+D111+D112+D113+D114+D115</f>
        <v>526781.3700000001</v>
      </c>
      <c r="E108" s="155">
        <f aca="true" t="shared" si="27" ref="E108:M108">E109+E110+E111+E112+E113+E114+E115</f>
        <v>0</v>
      </c>
      <c r="F108" s="155">
        <f t="shared" si="27"/>
        <v>0</v>
      </c>
      <c r="G108" s="155">
        <f t="shared" si="27"/>
        <v>161674.91999999998</v>
      </c>
      <c r="H108" s="155">
        <f t="shared" si="27"/>
        <v>0</v>
      </c>
      <c r="I108" s="155">
        <f t="shared" si="27"/>
        <v>0</v>
      </c>
      <c r="J108" s="155">
        <f t="shared" si="27"/>
        <v>0</v>
      </c>
      <c r="K108" s="155">
        <f t="shared" si="27"/>
        <v>161674.91999999998</v>
      </c>
      <c r="L108" s="155">
        <f t="shared" si="27"/>
        <v>161674.91999999998</v>
      </c>
      <c r="M108" s="155">
        <f t="shared" si="27"/>
        <v>0</v>
      </c>
      <c r="N108" s="155">
        <f>D108+G108</f>
        <v>688456.29</v>
      </c>
    </row>
    <row r="109" spans="1:14" ht="16.5">
      <c r="A109" s="91">
        <v>2414020</v>
      </c>
      <c r="B109" s="91" t="s">
        <v>518</v>
      </c>
      <c r="C109" s="104" t="s">
        <v>519</v>
      </c>
      <c r="D109" s="158"/>
      <c r="E109" s="171"/>
      <c r="F109" s="171"/>
      <c r="G109" s="158">
        <v>140000</v>
      </c>
      <c r="H109" s="171"/>
      <c r="I109" s="171"/>
      <c r="J109" s="171"/>
      <c r="K109" s="171">
        <v>140000</v>
      </c>
      <c r="L109" s="171">
        <v>140000</v>
      </c>
      <c r="M109" s="171"/>
      <c r="N109" s="167">
        <f aca="true" t="shared" si="28" ref="N109:N115">SUM(G109,D109)</f>
        <v>140000</v>
      </c>
    </row>
    <row r="110" spans="1:14" ht="16.5">
      <c r="A110" s="91">
        <v>2414060</v>
      </c>
      <c r="B110" s="91" t="s">
        <v>520</v>
      </c>
      <c r="C110" s="104" t="s">
        <v>521</v>
      </c>
      <c r="D110" s="158">
        <v>202619.4</v>
      </c>
      <c r="E110" s="171"/>
      <c r="F110" s="171"/>
      <c r="G110" s="158">
        <v>21674.92</v>
      </c>
      <c r="H110" s="171"/>
      <c r="I110" s="171"/>
      <c r="J110" s="171"/>
      <c r="K110" s="171">
        <v>21674.92</v>
      </c>
      <c r="L110" s="172">
        <v>21674.92</v>
      </c>
      <c r="M110" s="171"/>
      <c r="N110" s="167">
        <f t="shared" si="28"/>
        <v>224294.32</v>
      </c>
    </row>
    <row r="111" spans="1:14" ht="16.5">
      <c r="A111" s="91">
        <v>2414070</v>
      </c>
      <c r="B111" s="91" t="s">
        <v>522</v>
      </c>
      <c r="C111" s="104" t="s">
        <v>523</v>
      </c>
      <c r="D111" s="158">
        <v>212875.14</v>
      </c>
      <c r="E111" s="171"/>
      <c r="F111" s="171"/>
      <c r="G111" s="158"/>
      <c r="H111" s="171"/>
      <c r="I111" s="171"/>
      <c r="J111" s="171"/>
      <c r="K111" s="171"/>
      <c r="L111" s="187"/>
      <c r="M111" s="171"/>
      <c r="N111" s="167">
        <f t="shared" si="28"/>
        <v>212875.14</v>
      </c>
    </row>
    <row r="112" spans="1:14" ht="16.5">
      <c r="A112" s="91">
        <v>2414080</v>
      </c>
      <c r="B112" s="91" t="s">
        <v>524</v>
      </c>
      <c r="C112" s="104" t="s">
        <v>525</v>
      </c>
      <c r="D112" s="158">
        <v>39627.21</v>
      </c>
      <c r="E112" s="171"/>
      <c r="F112" s="171"/>
      <c r="G112" s="158"/>
      <c r="H112" s="171"/>
      <c r="I112" s="171"/>
      <c r="J112" s="171"/>
      <c r="K112" s="171"/>
      <c r="L112" s="171"/>
      <c r="M112" s="171"/>
      <c r="N112" s="167">
        <f t="shared" si="28"/>
        <v>39627.21</v>
      </c>
    </row>
    <row r="113" spans="1:14" ht="33" customHeight="1">
      <c r="A113" s="91">
        <v>2414090</v>
      </c>
      <c r="B113" s="91" t="s">
        <v>526</v>
      </c>
      <c r="C113" s="104" t="s">
        <v>527</v>
      </c>
      <c r="D113" s="158">
        <v>41243.48</v>
      </c>
      <c r="E113" s="171"/>
      <c r="F113" s="171"/>
      <c r="G113" s="158"/>
      <c r="H113" s="171"/>
      <c r="I113" s="171"/>
      <c r="J113" s="171"/>
      <c r="K113" s="171"/>
      <c r="L113" s="171"/>
      <c r="M113" s="171"/>
      <c r="N113" s="167">
        <f t="shared" si="28"/>
        <v>41243.48</v>
      </c>
    </row>
    <row r="114" spans="1:14" ht="20.25" customHeight="1">
      <c r="A114" s="91" t="s">
        <v>343</v>
      </c>
      <c r="B114" s="91" t="s">
        <v>528</v>
      </c>
      <c r="C114" s="104" t="s">
        <v>529</v>
      </c>
      <c r="D114" s="173">
        <v>10416.14</v>
      </c>
      <c r="E114" s="172"/>
      <c r="F114" s="172"/>
      <c r="G114" s="173"/>
      <c r="H114" s="173"/>
      <c r="I114" s="173"/>
      <c r="J114" s="173"/>
      <c r="K114" s="173"/>
      <c r="L114" s="173"/>
      <c r="M114" s="173"/>
      <c r="N114" s="167">
        <f t="shared" si="28"/>
        <v>10416.14</v>
      </c>
    </row>
    <row r="115" spans="1:14" ht="16.5">
      <c r="A115" s="91" t="s">
        <v>344</v>
      </c>
      <c r="B115" s="91" t="s">
        <v>584</v>
      </c>
      <c r="C115" s="96" t="s">
        <v>38</v>
      </c>
      <c r="D115" s="123">
        <v>20000</v>
      </c>
      <c r="E115" s="172"/>
      <c r="F115" s="172"/>
      <c r="G115" s="158"/>
      <c r="H115" s="172"/>
      <c r="I115" s="172"/>
      <c r="J115" s="172"/>
      <c r="K115" s="172"/>
      <c r="L115" s="172"/>
      <c r="M115" s="172"/>
      <c r="N115" s="167">
        <f t="shared" si="28"/>
        <v>20000</v>
      </c>
    </row>
    <row r="116" spans="1:14" s="190" customFormat="1" ht="47.25">
      <c r="A116" s="153">
        <v>4700000</v>
      </c>
      <c r="B116" s="153" t="s">
        <v>647</v>
      </c>
      <c r="C116" s="592" t="s">
        <v>648</v>
      </c>
      <c r="D116" s="188">
        <f>D117</f>
        <v>0</v>
      </c>
      <c r="E116" s="188">
        <f aca="true" t="shared" si="29" ref="E116:M116">E117</f>
        <v>0</v>
      </c>
      <c r="F116" s="188">
        <f t="shared" si="29"/>
        <v>0</v>
      </c>
      <c r="G116" s="188">
        <f t="shared" si="29"/>
        <v>53544345.5</v>
      </c>
      <c r="H116" s="188">
        <f t="shared" si="29"/>
        <v>23072841.26</v>
      </c>
      <c r="I116" s="188">
        <f t="shared" si="29"/>
        <v>0</v>
      </c>
      <c r="J116" s="188">
        <f t="shared" si="29"/>
        <v>0</v>
      </c>
      <c r="K116" s="188">
        <f t="shared" si="29"/>
        <v>30471504.24</v>
      </c>
      <c r="L116" s="188">
        <f t="shared" si="29"/>
        <v>14126080.28</v>
      </c>
      <c r="M116" s="188">
        <f t="shared" si="29"/>
        <v>3000000</v>
      </c>
      <c r="N116" s="189">
        <f>SUM(G116,D116)</f>
        <v>53544345.5</v>
      </c>
    </row>
    <row r="117" spans="1:14" s="190" customFormat="1" ht="47.25">
      <c r="A117" s="153">
        <v>4710000</v>
      </c>
      <c r="B117" s="153" t="s">
        <v>647</v>
      </c>
      <c r="C117" s="592" t="s">
        <v>648</v>
      </c>
      <c r="D117" s="188">
        <f>D118+D119+D121+D122+D123</f>
        <v>0</v>
      </c>
      <c r="E117" s="188">
        <f aca="true" t="shared" si="30" ref="E117:M117">E118+E119+E121+E122+E123</f>
        <v>0</v>
      </c>
      <c r="F117" s="188">
        <f t="shared" si="30"/>
        <v>0</v>
      </c>
      <c r="G117" s="188">
        <f t="shared" si="30"/>
        <v>53544345.5</v>
      </c>
      <c r="H117" s="188">
        <f t="shared" si="30"/>
        <v>23072841.26</v>
      </c>
      <c r="I117" s="188">
        <f t="shared" si="30"/>
        <v>0</v>
      </c>
      <c r="J117" s="188">
        <f t="shared" si="30"/>
        <v>0</v>
      </c>
      <c r="K117" s="188">
        <f t="shared" si="30"/>
        <v>30471504.24</v>
      </c>
      <c r="L117" s="188">
        <f t="shared" si="30"/>
        <v>14126080.28</v>
      </c>
      <c r="M117" s="188">
        <f t="shared" si="30"/>
        <v>3000000</v>
      </c>
      <c r="N117" s="188">
        <f>D117+G117</f>
        <v>53544345.5</v>
      </c>
    </row>
    <row r="118" spans="1:14" s="190" customFormat="1" ht="31.5">
      <c r="A118" s="91">
        <v>4716310</v>
      </c>
      <c r="B118" s="91" t="s">
        <v>549</v>
      </c>
      <c r="C118" s="104" t="s">
        <v>345</v>
      </c>
      <c r="D118" s="158"/>
      <c r="E118" s="123"/>
      <c r="F118" s="123"/>
      <c r="G118" s="161">
        <v>14126080.28</v>
      </c>
      <c r="H118" s="123"/>
      <c r="I118" s="123"/>
      <c r="J118" s="123"/>
      <c r="K118" s="110">
        <v>14126080.28</v>
      </c>
      <c r="L118" s="110">
        <v>14126080.28</v>
      </c>
      <c r="M118" s="110">
        <v>3000000</v>
      </c>
      <c r="N118" s="158">
        <f aca="true" t="shared" si="31" ref="N118:N123">SUM(G118,D118)</f>
        <v>14126080.28</v>
      </c>
    </row>
    <row r="119" spans="1:14" s="190" customFormat="1" ht="31.5">
      <c r="A119" s="91" t="s">
        <v>346</v>
      </c>
      <c r="B119" s="91">
        <v>170703</v>
      </c>
      <c r="C119" s="104" t="s">
        <v>347</v>
      </c>
      <c r="D119" s="158"/>
      <c r="E119" s="123"/>
      <c r="F119" s="123"/>
      <c r="G119" s="161">
        <v>35253545.28</v>
      </c>
      <c r="H119" s="110">
        <v>23072841.26</v>
      </c>
      <c r="I119" s="123"/>
      <c r="J119" s="123"/>
      <c r="K119" s="110">
        <v>12180704.02</v>
      </c>
      <c r="L119" s="110"/>
      <c r="M119" s="123"/>
      <c r="N119" s="158">
        <f t="shared" si="31"/>
        <v>35253545.28</v>
      </c>
    </row>
    <row r="120" spans="1:14" s="190" customFormat="1" ht="78.75">
      <c r="A120" s="91"/>
      <c r="B120" s="91"/>
      <c r="C120" s="104" t="s">
        <v>556</v>
      </c>
      <c r="D120" s="158"/>
      <c r="E120" s="123"/>
      <c r="F120" s="123"/>
      <c r="G120" s="161">
        <v>10416687.58</v>
      </c>
      <c r="H120" s="110">
        <v>1395386</v>
      </c>
      <c r="I120" s="123"/>
      <c r="J120" s="123"/>
      <c r="K120" s="110">
        <v>9021301.58</v>
      </c>
      <c r="L120" s="110"/>
      <c r="M120" s="123"/>
      <c r="N120" s="158">
        <f t="shared" si="31"/>
        <v>10416687.58</v>
      </c>
    </row>
    <row r="121" spans="1:14" s="190" customFormat="1" ht="31.5">
      <c r="A121" s="91" t="s">
        <v>348</v>
      </c>
      <c r="B121" s="91">
        <v>240601</v>
      </c>
      <c r="C121" s="104" t="s">
        <v>575</v>
      </c>
      <c r="D121" s="158"/>
      <c r="E121" s="123"/>
      <c r="F121" s="123"/>
      <c r="G121" s="161">
        <v>2952209.94</v>
      </c>
      <c r="H121" s="110"/>
      <c r="I121" s="123"/>
      <c r="J121" s="123"/>
      <c r="K121" s="110">
        <v>2952209.94</v>
      </c>
      <c r="L121" s="110"/>
      <c r="M121" s="123"/>
      <c r="N121" s="158">
        <f t="shared" si="31"/>
        <v>2952209.94</v>
      </c>
    </row>
    <row r="122" spans="1:14" s="190" customFormat="1" ht="18" customHeight="1">
      <c r="A122" s="91">
        <v>4719120</v>
      </c>
      <c r="B122" s="91" t="s">
        <v>657</v>
      </c>
      <c r="C122" s="104" t="s">
        <v>658</v>
      </c>
      <c r="D122" s="158"/>
      <c r="E122" s="123"/>
      <c r="F122" s="123"/>
      <c r="G122" s="161">
        <v>600000</v>
      </c>
      <c r="H122" s="110"/>
      <c r="I122" s="123"/>
      <c r="J122" s="123"/>
      <c r="K122" s="110">
        <v>600000</v>
      </c>
      <c r="L122" s="110"/>
      <c r="M122" s="123"/>
      <c r="N122" s="158">
        <f t="shared" si="31"/>
        <v>600000</v>
      </c>
    </row>
    <row r="123" spans="1:14" s="190" customFormat="1" ht="36" customHeight="1">
      <c r="A123" s="91">
        <v>4719130</v>
      </c>
      <c r="B123" s="91" t="s">
        <v>577</v>
      </c>
      <c r="C123" s="104" t="s">
        <v>578</v>
      </c>
      <c r="D123" s="158"/>
      <c r="E123" s="123"/>
      <c r="F123" s="123"/>
      <c r="G123" s="161">
        <v>612510</v>
      </c>
      <c r="H123" s="110"/>
      <c r="I123" s="123"/>
      <c r="J123" s="123"/>
      <c r="K123" s="110">
        <v>612510</v>
      </c>
      <c r="L123" s="110"/>
      <c r="M123" s="123"/>
      <c r="N123" s="158">
        <f t="shared" si="31"/>
        <v>612510</v>
      </c>
    </row>
    <row r="124" spans="1:14" s="190" customFormat="1" ht="47.25">
      <c r="A124" s="153">
        <v>5300000</v>
      </c>
      <c r="B124" s="153" t="s">
        <v>659</v>
      </c>
      <c r="C124" s="578" t="s">
        <v>660</v>
      </c>
      <c r="D124" s="155">
        <f>D125</f>
        <v>0</v>
      </c>
      <c r="E124" s="155">
        <f aca="true" t="shared" si="32" ref="E124:M125">E125</f>
        <v>0</v>
      </c>
      <c r="F124" s="155">
        <f t="shared" si="32"/>
        <v>0</v>
      </c>
      <c r="G124" s="155">
        <f t="shared" si="32"/>
        <v>547990.14</v>
      </c>
      <c r="H124" s="155">
        <f t="shared" si="32"/>
        <v>547990.14</v>
      </c>
      <c r="I124" s="155">
        <f t="shared" si="32"/>
        <v>0</v>
      </c>
      <c r="J124" s="155">
        <f t="shared" si="32"/>
        <v>0</v>
      </c>
      <c r="K124" s="155">
        <f t="shared" si="32"/>
        <v>0</v>
      </c>
      <c r="L124" s="155">
        <f t="shared" si="32"/>
        <v>0</v>
      </c>
      <c r="M124" s="155">
        <f t="shared" si="32"/>
        <v>0</v>
      </c>
      <c r="N124" s="155">
        <f>SUM(G124,D124)</f>
        <v>547990.14</v>
      </c>
    </row>
    <row r="125" spans="1:14" s="190" customFormat="1" ht="47.25">
      <c r="A125" s="153">
        <v>5310000</v>
      </c>
      <c r="B125" s="153" t="s">
        <v>659</v>
      </c>
      <c r="C125" s="578" t="s">
        <v>660</v>
      </c>
      <c r="D125" s="155">
        <f>D126</f>
        <v>0</v>
      </c>
      <c r="E125" s="155">
        <f t="shared" si="32"/>
        <v>0</v>
      </c>
      <c r="F125" s="155">
        <f t="shared" si="32"/>
        <v>0</v>
      </c>
      <c r="G125" s="155">
        <f t="shared" si="32"/>
        <v>547990.14</v>
      </c>
      <c r="H125" s="155">
        <f t="shared" si="32"/>
        <v>547990.14</v>
      </c>
      <c r="I125" s="155">
        <f t="shared" si="32"/>
        <v>0</v>
      </c>
      <c r="J125" s="155">
        <f t="shared" si="32"/>
        <v>0</v>
      </c>
      <c r="K125" s="155">
        <f t="shared" si="32"/>
        <v>0</v>
      </c>
      <c r="L125" s="155">
        <f t="shared" si="32"/>
        <v>0</v>
      </c>
      <c r="M125" s="155">
        <f t="shared" si="32"/>
        <v>0</v>
      </c>
      <c r="N125" s="155">
        <f>D125+G125</f>
        <v>547990.14</v>
      </c>
    </row>
    <row r="126" spans="1:14" s="190" customFormat="1" ht="31.5">
      <c r="A126" s="91" t="s">
        <v>349</v>
      </c>
      <c r="B126" s="91" t="s">
        <v>568</v>
      </c>
      <c r="C126" s="112" t="s">
        <v>663</v>
      </c>
      <c r="D126" s="158"/>
      <c r="E126" s="197"/>
      <c r="F126" s="197"/>
      <c r="G126" s="158">
        <v>547990.14</v>
      </c>
      <c r="H126" s="197">
        <v>547990.14</v>
      </c>
      <c r="I126" s="197"/>
      <c r="J126" s="197"/>
      <c r="K126" s="197"/>
      <c r="L126" s="197"/>
      <c r="M126" s="197"/>
      <c r="N126" s="158">
        <f>SUM(G126,D126)</f>
        <v>547990.14</v>
      </c>
    </row>
    <row r="127" spans="1:14" s="190" customFormat="1" ht="47.25">
      <c r="A127" s="153">
        <v>6700000</v>
      </c>
      <c r="B127" s="153" t="s">
        <v>664</v>
      </c>
      <c r="C127" s="164" t="s">
        <v>665</v>
      </c>
      <c r="D127" s="155">
        <f>D128</f>
        <v>0</v>
      </c>
      <c r="E127" s="155">
        <f aca="true" t="shared" si="33" ref="E127:M128">E128</f>
        <v>0</v>
      </c>
      <c r="F127" s="155">
        <f t="shared" si="33"/>
        <v>0</v>
      </c>
      <c r="G127" s="155">
        <f t="shared" si="33"/>
        <v>34000</v>
      </c>
      <c r="H127" s="155">
        <f t="shared" si="33"/>
        <v>0</v>
      </c>
      <c r="I127" s="155">
        <f t="shared" si="33"/>
        <v>0</v>
      </c>
      <c r="J127" s="155">
        <f t="shared" si="33"/>
        <v>0</v>
      </c>
      <c r="K127" s="155">
        <f t="shared" si="33"/>
        <v>34000</v>
      </c>
      <c r="L127" s="155">
        <f t="shared" si="33"/>
        <v>34000</v>
      </c>
      <c r="M127" s="155">
        <f t="shared" si="33"/>
        <v>0</v>
      </c>
      <c r="N127" s="155">
        <f>D127+G127</f>
        <v>34000</v>
      </c>
    </row>
    <row r="128" spans="1:14" s="190" customFormat="1" ht="47.25">
      <c r="A128" s="153">
        <v>6710000</v>
      </c>
      <c r="B128" s="153" t="s">
        <v>664</v>
      </c>
      <c r="C128" s="164" t="s">
        <v>665</v>
      </c>
      <c r="D128" s="155">
        <f>D129</f>
        <v>0</v>
      </c>
      <c r="E128" s="155">
        <f t="shared" si="33"/>
        <v>0</v>
      </c>
      <c r="F128" s="155">
        <f t="shared" si="33"/>
        <v>0</v>
      </c>
      <c r="G128" s="155">
        <f t="shared" si="33"/>
        <v>34000</v>
      </c>
      <c r="H128" s="155">
        <f t="shared" si="33"/>
        <v>0</v>
      </c>
      <c r="I128" s="155">
        <f t="shared" si="33"/>
        <v>0</v>
      </c>
      <c r="J128" s="155">
        <f t="shared" si="33"/>
        <v>0</v>
      </c>
      <c r="K128" s="155">
        <f t="shared" si="33"/>
        <v>34000</v>
      </c>
      <c r="L128" s="155">
        <f t="shared" si="33"/>
        <v>34000</v>
      </c>
      <c r="M128" s="155">
        <f t="shared" si="33"/>
        <v>0</v>
      </c>
      <c r="N128" s="155">
        <f>D128+G128</f>
        <v>34000</v>
      </c>
    </row>
    <row r="129" spans="1:14" s="190" customFormat="1" ht="47.25">
      <c r="A129" s="91" t="s">
        <v>350</v>
      </c>
      <c r="B129" s="91" t="s">
        <v>571</v>
      </c>
      <c r="C129" s="95" t="s">
        <v>330</v>
      </c>
      <c r="D129" s="123"/>
      <c r="E129" s="123"/>
      <c r="F129" s="123"/>
      <c r="G129" s="123">
        <v>34000</v>
      </c>
      <c r="H129" s="123"/>
      <c r="I129" s="123"/>
      <c r="J129" s="123"/>
      <c r="K129" s="110">
        <v>34000</v>
      </c>
      <c r="L129" s="110">
        <v>34000</v>
      </c>
      <c r="M129" s="110"/>
      <c r="N129" s="158">
        <f>SUM(G129,D129)</f>
        <v>34000</v>
      </c>
    </row>
    <row r="130" spans="1:14" s="190" customFormat="1" ht="94.5">
      <c r="A130" s="91"/>
      <c r="B130" s="91" t="s">
        <v>380</v>
      </c>
      <c r="C130" s="112" t="s">
        <v>573</v>
      </c>
      <c r="D130" s="123"/>
      <c r="E130" s="197"/>
      <c r="F130" s="197"/>
      <c r="G130" s="123">
        <v>34000</v>
      </c>
      <c r="H130" s="197"/>
      <c r="I130" s="197"/>
      <c r="J130" s="197"/>
      <c r="K130" s="197">
        <v>34000</v>
      </c>
      <c r="L130" s="197">
        <v>34000</v>
      </c>
      <c r="M130" s="197"/>
      <c r="N130" s="158">
        <f>SUM(G130,D130)</f>
        <v>34000</v>
      </c>
    </row>
    <row r="131" spans="1:14" s="190" customFormat="1" ht="47.25">
      <c r="A131" s="153">
        <v>7300000</v>
      </c>
      <c r="B131" s="153" t="s">
        <v>668</v>
      </c>
      <c r="C131" s="164" t="s">
        <v>669</v>
      </c>
      <c r="D131" s="188">
        <f>D132</f>
        <v>24989.67</v>
      </c>
      <c r="E131" s="188">
        <f aca="true" t="shared" si="34" ref="E131:M131">E132</f>
        <v>0</v>
      </c>
      <c r="F131" s="188">
        <f t="shared" si="34"/>
        <v>0</v>
      </c>
      <c r="G131" s="188">
        <f t="shared" si="34"/>
        <v>286301.5</v>
      </c>
      <c r="H131" s="188">
        <f t="shared" si="34"/>
        <v>286301.5</v>
      </c>
      <c r="I131" s="188">
        <f t="shared" si="34"/>
        <v>0</v>
      </c>
      <c r="J131" s="188">
        <f t="shared" si="34"/>
        <v>0</v>
      </c>
      <c r="K131" s="188">
        <f t="shared" si="34"/>
        <v>0</v>
      </c>
      <c r="L131" s="188">
        <f t="shared" si="34"/>
        <v>0</v>
      </c>
      <c r="M131" s="188">
        <f t="shared" si="34"/>
        <v>0</v>
      </c>
      <c r="N131" s="188">
        <f>D131+G131</f>
        <v>311291.17</v>
      </c>
    </row>
    <row r="132" spans="1:14" s="190" customFormat="1" ht="47.25">
      <c r="A132" s="153">
        <v>7310000</v>
      </c>
      <c r="B132" s="153" t="s">
        <v>668</v>
      </c>
      <c r="C132" s="164" t="s">
        <v>669</v>
      </c>
      <c r="D132" s="188">
        <f>D133+D134+D135+D136</f>
        <v>24989.67</v>
      </c>
      <c r="E132" s="188">
        <f aca="true" t="shared" si="35" ref="E132:M132">E133+E134+E135+E136</f>
        <v>0</v>
      </c>
      <c r="F132" s="188">
        <f t="shared" si="35"/>
        <v>0</v>
      </c>
      <c r="G132" s="188">
        <f t="shared" si="35"/>
        <v>286301.5</v>
      </c>
      <c r="H132" s="188">
        <f t="shared" si="35"/>
        <v>286301.5</v>
      </c>
      <c r="I132" s="188">
        <f t="shared" si="35"/>
        <v>0</v>
      </c>
      <c r="J132" s="188">
        <f t="shared" si="35"/>
        <v>0</v>
      </c>
      <c r="K132" s="188">
        <f t="shared" si="35"/>
        <v>0</v>
      </c>
      <c r="L132" s="188">
        <f t="shared" si="35"/>
        <v>0</v>
      </c>
      <c r="M132" s="188">
        <f t="shared" si="35"/>
        <v>0</v>
      </c>
      <c r="N132" s="188">
        <f>D132+G132</f>
        <v>311291.17</v>
      </c>
    </row>
    <row r="133" spans="1:14" s="190" customFormat="1" ht="31.5">
      <c r="A133" s="91" t="s">
        <v>351</v>
      </c>
      <c r="B133" s="91" t="s">
        <v>559</v>
      </c>
      <c r="C133" s="96" t="s">
        <v>352</v>
      </c>
      <c r="D133" s="160">
        <v>17989.67</v>
      </c>
      <c r="E133" s="110"/>
      <c r="F133" s="110"/>
      <c r="G133" s="123"/>
      <c r="H133" s="201"/>
      <c r="I133" s="201"/>
      <c r="J133" s="201"/>
      <c r="K133" s="201"/>
      <c r="L133" s="201"/>
      <c r="M133" s="201"/>
      <c r="N133" s="158">
        <f>SUM(G133,D133)</f>
        <v>17989.67</v>
      </c>
    </row>
    <row r="134" spans="1:14" s="190" customFormat="1" ht="31.5">
      <c r="A134" s="91" t="s">
        <v>353</v>
      </c>
      <c r="B134" s="91" t="s">
        <v>670</v>
      </c>
      <c r="C134" s="96" t="s">
        <v>671</v>
      </c>
      <c r="D134" s="160">
        <v>7000</v>
      </c>
      <c r="E134" s="110"/>
      <c r="F134" s="110"/>
      <c r="G134" s="123"/>
      <c r="H134" s="201"/>
      <c r="I134" s="201"/>
      <c r="J134" s="201"/>
      <c r="K134" s="201"/>
      <c r="L134" s="201"/>
      <c r="M134" s="201"/>
      <c r="N134" s="158">
        <f>SUM(G134,D134)</f>
        <v>7000</v>
      </c>
    </row>
    <row r="135" spans="1:14" ht="33" customHeight="1">
      <c r="A135" s="91" t="s">
        <v>354</v>
      </c>
      <c r="B135" s="91" t="s">
        <v>674</v>
      </c>
      <c r="C135" s="96" t="s">
        <v>675</v>
      </c>
      <c r="D135" s="160"/>
      <c r="E135" s="110"/>
      <c r="F135" s="110"/>
      <c r="G135" s="123">
        <v>46301.5</v>
      </c>
      <c r="H135" s="201">
        <v>46301.5</v>
      </c>
      <c r="I135" s="201"/>
      <c r="J135" s="201"/>
      <c r="K135" s="201"/>
      <c r="L135" s="201"/>
      <c r="M135" s="201"/>
      <c r="N135" s="158">
        <f>SUM(G135,D135)</f>
        <v>46301.5</v>
      </c>
    </row>
    <row r="136" spans="1:14" ht="33" customHeight="1">
      <c r="A136" s="91" t="s">
        <v>355</v>
      </c>
      <c r="B136" s="91" t="s">
        <v>356</v>
      </c>
      <c r="C136" s="96" t="s">
        <v>357</v>
      </c>
      <c r="D136" s="160"/>
      <c r="E136" s="110"/>
      <c r="F136" s="110"/>
      <c r="G136" s="123">
        <v>240000</v>
      </c>
      <c r="H136" s="201">
        <v>240000</v>
      </c>
      <c r="I136" s="201"/>
      <c r="J136" s="201"/>
      <c r="K136" s="201"/>
      <c r="L136" s="201"/>
      <c r="M136" s="201"/>
      <c r="N136" s="158">
        <f>SUM(G136,D136)</f>
        <v>240000</v>
      </c>
    </row>
    <row r="137" spans="1:14" s="157" customFormat="1" ht="18.75">
      <c r="A137" s="593"/>
      <c r="B137" s="594"/>
      <c r="C137" s="595" t="s">
        <v>590</v>
      </c>
      <c r="D137" s="204">
        <f>D12+D16+D20+D26+D30+D48+D58+D66+D95+D103+D107+D116+D124+D127+D131</f>
        <v>6533400.97</v>
      </c>
      <c r="E137" s="204">
        <f aca="true" t="shared" si="36" ref="E137:N137">E12+E16+E20+E26+E30+E48+E58+E66+E95+E103+E107+E116+E124+E127+E131</f>
        <v>526700</v>
      </c>
      <c r="F137" s="204">
        <f t="shared" si="36"/>
        <v>178000</v>
      </c>
      <c r="G137" s="204">
        <f t="shared" si="36"/>
        <v>57170118.93</v>
      </c>
      <c r="H137" s="204">
        <f t="shared" si="36"/>
        <v>23907132.900000002</v>
      </c>
      <c r="I137" s="204">
        <f t="shared" si="36"/>
        <v>0</v>
      </c>
      <c r="J137" s="204">
        <f t="shared" si="36"/>
        <v>0</v>
      </c>
      <c r="K137" s="204">
        <f t="shared" si="36"/>
        <v>33262986.029999997</v>
      </c>
      <c r="L137" s="204">
        <f t="shared" si="36"/>
        <v>16917562.07</v>
      </c>
      <c r="M137" s="204">
        <f t="shared" si="36"/>
        <v>3000000</v>
      </c>
      <c r="N137" s="204">
        <f t="shared" si="36"/>
        <v>63703519.900000006</v>
      </c>
    </row>
    <row r="138" spans="1:14" s="157" customFormat="1" ht="16.5">
      <c r="A138" s="596"/>
      <c r="B138" s="597"/>
      <c r="C138" s="598" t="s">
        <v>591</v>
      </c>
      <c r="D138" s="155">
        <f>D139+D143</f>
        <v>16600</v>
      </c>
      <c r="E138" s="155">
        <f aca="true" t="shared" si="37" ref="E138:N138">E139+E143</f>
        <v>0</v>
      </c>
      <c r="F138" s="155">
        <f t="shared" si="37"/>
        <v>0</v>
      </c>
      <c r="G138" s="155">
        <f t="shared" si="37"/>
        <v>1086753.98</v>
      </c>
      <c r="H138" s="155">
        <f t="shared" si="37"/>
        <v>156238</v>
      </c>
      <c r="I138" s="155">
        <f t="shared" si="37"/>
        <v>0</v>
      </c>
      <c r="J138" s="155">
        <f t="shared" si="37"/>
        <v>0</v>
      </c>
      <c r="K138" s="155">
        <f t="shared" si="37"/>
        <v>930515.98</v>
      </c>
      <c r="L138" s="155">
        <f t="shared" si="37"/>
        <v>930515.98</v>
      </c>
      <c r="M138" s="155">
        <f t="shared" si="37"/>
        <v>0</v>
      </c>
      <c r="N138" s="155">
        <f t="shared" si="37"/>
        <v>1103353.98</v>
      </c>
    </row>
    <row r="139" spans="1:14" s="157" customFormat="1" ht="47.25">
      <c r="A139" s="153">
        <v>4700000</v>
      </c>
      <c r="B139" s="153" t="s">
        <v>647</v>
      </c>
      <c r="C139" s="592" t="s">
        <v>648</v>
      </c>
      <c r="D139" s="155">
        <f>D140</f>
        <v>0</v>
      </c>
      <c r="E139" s="155">
        <f aca="true" t="shared" si="38" ref="E139:M139">E140</f>
        <v>0</v>
      </c>
      <c r="F139" s="155">
        <f t="shared" si="38"/>
        <v>0</v>
      </c>
      <c r="G139" s="155">
        <f t="shared" si="38"/>
        <v>1049753.98</v>
      </c>
      <c r="H139" s="155">
        <f t="shared" si="38"/>
        <v>156238</v>
      </c>
      <c r="I139" s="155">
        <f t="shared" si="38"/>
        <v>0</v>
      </c>
      <c r="J139" s="155">
        <f t="shared" si="38"/>
        <v>0</v>
      </c>
      <c r="K139" s="155">
        <f t="shared" si="38"/>
        <v>893515.98</v>
      </c>
      <c r="L139" s="155">
        <f t="shared" si="38"/>
        <v>893515.98</v>
      </c>
      <c r="M139" s="155">
        <f t="shared" si="38"/>
        <v>0</v>
      </c>
      <c r="N139" s="155">
        <f>D139+G139</f>
        <v>1049753.98</v>
      </c>
    </row>
    <row r="140" spans="1:14" s="157" customFormat="1" ht="47.25">
      <c r="A140" s="153">
        <v>4710000</v>
      </c>
      <c r="B140" s="153" t="s">
        <v>647</v>
      </c>
      <c r="C140" s="592" t="s">
        <v>648</v>
      </c>
      <c r="D140" s="155">
        <f>D141+D142</f>
        <v>0</v>
      </c>
      <c r="E140" s="155">
        <f aca="true" t="shared" si="39" ref="E140:M140">E141+E142</f>
        <v>0</v>
      </c>
      <c r="F140" s="155">
        <f t="shared" si="39"/>
        <v>0</v>
      </c>
      <c r="G140" s="155">
        <f t="shared" si="39"/>
        <v>1049753.98</v>
      </c>
      <c r="H140" s="155">
        <f t="shared" si="39"/>
        <v>156238</v>
      </c>
      <c r="I140" s="155">
        <f t="shared" si="39"/>
        <v>0</v>
      </c>
      <c r="J140" s="155">
        <f t="shared" si="39"/>
        <v>0</v>
      </c>
      <c r="K140" s="155">
        <f t="shared" si="39"/>
        <v>893515.98</v>
      </c>
      <c r="L140" s="155">
        <f t="shared" si="39"/>
        <v>893515.98</v>
      </c>
      <c r="M140" s="155">
        <f t="shared" si="39"/>
        <v>0</v>
      </c>
      <c r="N140" s="155">
        <f>D140+G140</f>
        <v>1049753.98</v>
      </c>
    </row>
    <row r="141" spans="1:14" ht="96" customHeight="1">
      <c r="A141" s="163" t="s">
        <v>358</v>
      </c>
      <c r="B141" s="91" t="s">
        <v>359</v>
      </c>
      <c r="C141" s="96" t="s">
        <v>593</v>
      </c>
      <c r="D141" s="123"/>
      <c r="E141" s="158"/>
      <c r="F141" s="158"/>
      <c r="G141" s="158">
        <v>552792.88</v>
      </c>
      <c r="H141" s="158">
        <v>156238</v>
      </c>
      <c r="I141" s="158"/>
      <c r="J141" s="158"/>
      <c r="K141" s="158">
        <v>396554.88</v>
      </c>
      <c r="L141" s="158">
        <v>396554.88</v>
      </c>
      <c r="M141" s="158"/>
      <c r="N141" s="158">
        <f>SUM(G141,D141)</f>
        <v>552792.88</v>
      </c>
    </row>
    <row r="142" spans="1:14" ht="22.5" customHeight="1">
      <c r="A142" s="163" t="s">
        <v>360</v>
      </c>
      <c r="B142" s="91" t="s">
        <v>594</v>
      </c>
      <c r="C142" s="96" t="s">
        <v>378</v>
      </c>
      <c r="D142" s="123"/>
      <c r="E142" s="158"/>
      <c r="F142" s="158"/>
      <c r="G142" s="158">
        <v>496961.1</v>
      </c>
      <c r="H142" s="158"/>
      <c r="I142" s="158"/>
      <c r="J142" s="158"/>
      <c r="K142" s="158">
        <v>496961.1</v>
      </c>
      <c r="L142" s="158">
        <v>496961.1</v>
      </c>
      <c r="M142" s="158"/>
      <c r="N142" s="158">
        <f>SUM(G142,D142)</f>
        <v>496961.1</v>
      </c>
    </row>
    <row r="143" spans="1:14" s="157" customFormat="1" ht="35.25" customHeight="1">
      <c r="A143" s="153">
        <v>7300000</v>
      </c>
      <c r="B143" s="153" t="s">
        <v>668</v>
      </c>
      <c r="C143" s="164" t="s">
        <v>669</v>
      </c>
      <c r="D143" s="155">
        <f>D144</f>
        <v>16600</v>
      </c>
      <c r="E143" s="155">
        <f aca="true" t="shared" si="40" ref="E143:M144">E144</f>
        <v>0</v>
      </c>
      <c r="F143" s="155">
        <f t="shared" si="40"/>
        <v>0</v>
      </c>
      <c r="G143" s="155">
        <f t="shared" si="40"/>
        <v>37000</v>
      </c>
      <c r="H143" s="155">
        <f t="shared" si="40"/>
        <v>0</v>
      </c>
      <c r="I143" s="155">
        <f t="shared" si="40"/>
        <v>0</v>
      </c>
      <c r="J143" s="155">
        <f t="shared" si="40"/>
        <v>0</v>
      </c>
      <c r="K143" s="155">
        <f t="shared" si="40"/>
        <v>37000</v>
      </c>
      <c r="L143" s="155">
        <f t="shared" si="40"/>
        <v>37000</v>
      </c>
      <c r="M143" s="155">
        <f t="shared" si="40"/>
        <v>0</v>
      </c>
      <c r="N143" s="155">
        <f>D143+G143</f>
        <v>53600</v>
      </c>
    </row>
    <row r="144" spans="1:14" s="157" customFormat="1" ht="35.25" customHeight="1">
      <c r="A144" s="153">
        <v>7310000</v>
      </c>
      <c r="B144" s="153" t="s">
        <v>668</v>
      </c>
      <c r="C144" s="164" t="s">
        <v>669</v>
      </c>
      <c r="D144" s="155">
        <f>D145</f>
        <v>16600</v>
      </c>
      <c r="E144" s="155">
        <f t="shared" si="40"/>
        <v>0</v>
      </c>
      <c r="F144" s="155">
        <f t="shared" si="40"/>
        <v>0</v>
      </c>
      <c r="G144" s="155">
        <f t="shared" si="40"/>
        <v>37000</v>
      </c>
      <c r="H144" s="155">
        <f t="shared" si="40"/>
        <v>0</v>
      </c>
      <c r="I144" s="155">
        <f t="shared" si="40"/>
        <v>0</v>
      </c>
      <c r="J144" s="155">
        <f t="shared" si="40"/>
        <v>0</v>
      </c>
      <c r="K144" s="155">
        <f t="shared" si="40"/>
        <v>37000</v>
      </c>
      <c r="L144" s="155">
        <f t="shared" si="40"/>
        <v>37000</v>
      </c>
      <c r="M144" s="155">
        <f t="shared" si="40"/>
        <v>0</v>
      </c>
      <c r="N144" s="155">
        <f>D144+G144</f>
        <v>53600</v>
      </c>
    </row>
    <row r="145" spans="1:14" ht="63" customHeight="1">
      <c r="A145" s="91" t="s">
        <v>361</v>
      </c>
      <c r="B145" s="91" t="s">
        <v>594</v>
      </c>
      <c r="C145" s="96" t="s">
        <v>595</v>
      </c>
      <c r="D145" s="123">
        <v>16600</v>
      </c>
      <c r="E145" s="158"/>
      <c r="F145" s="158"/>
      <c r="G145" s="158">
        <v>37000</v>
      </c>
      <c r="H145" s="158"/>
      <c r="I145" s="158"/>
      <c r="J145" s="158"/>
      <c r="K145" s="158">
        <v>37000</v>
      </c>
      <c r="L145" s="158">
        <v>37000</v>
      </c>
      <c r="M145" s="158"/>
      <c r="N145" s="158">
        <f>SUM(G145,D145)</f>
        <v>53600</v>
      </c>
    </row>
    <row r="146" spans="1:14" s="157" customFormat="1" ht="19.5">
      <c r="A146" s="596"/>
      <c r="B146" s="205"/>
      <c r="C146" s="206" t="s">
        <v>367</v>
      </c>
      <c r="D146" s="207">
        <f aca="true" t="shared" si="41" ref="D146:N146">D137+D138</f>
        <v>6550000.97</v>
      </c>
      <c r="E146" s="207">
        <f t="shared" si="41"/>
        <v>526700</v>
      </c>
      <c r="F146" s="207">
        <f t="shared" si="41"/>
        <v>178000</v>
      </c>
      <c r="G146" s="207">
        <f t="shared" si="41"/>
        <v>58256872.91</v>
      </c>
      <c r="H146" s="207">
        <f t="shared" si="41"/>
        <v>24063370.900000002</v>
      </c>
      <c r="I146" s="207">
        <f t="shared" si="41"/>
        <v>0</v>
      </c>
      <c r="J146" s="207">
        <f t="shared" si="41"/>
        <v>0</v>
      </c>
      <c r="K146" s="207">
        <f t="shared" si="41"/>
        <v>34193502.01</v>
      </c>
      <c r="L146" s="207">
        <f t="shared" si="41"/>
        <v>17848078.05</v>
      </c>
      <c r="M146" s="207">
        <f t="shared" si="41"/>
        <v>3000000</v>
      </c>
      <c r="N146" s="207">
        <f t="shared" si="41"/>
        <v>64806873.88</v>
      </c>
    </row>
    <row r="147" spans="2:14" ht="13.5" customHeight="1">
      <c r="B147" s="208"/>
      <c r="D147" s="209"/>
      <c r="E147" s="210"/>
      <c r="F147" s="210"/>
      <c r="G147" s="211"/>
      <c r="H147" s="210"/>
      <c r="I147" s="210"/>
      <c r="J147" s="210"/>
      <c r="K147" s="210"/>
      <c r="L147" s="210"/>
      <c r="M147" s="210"/>
      <c r="N147" s="209"/>
    </row>
    <row r="148" spans="2:14" ht="146.25" customHeight="1">
      <c r="B148" s="212"/>
      <c r="C148" s="213"/>
      <c r="D148" s="209"/>
      <c r="E148" s="210"/>
      <c r="F148" s="210"/>
      <c r="G148" s="211"/>
      <c r="H148" s="210"/>
      <c r="I148" s="210"/>
      <c r="J148" s="214"/>
      <c r="K148" s="210"/>
      <c r="L148" s="210"/>
      <c r="M148" s="210"/>
      <c r="N148" s="215"/>
    </row>
    <row r="149" spans="2:14" ht="37.5" customHeight="1">
      <c r="B149" s="216"/>
      <c r="C149" s="606" t="s">
        <v>373</v>
      </c>
      <c r="D149" s="606"/>
      <c r="E149" s="606"/>
      <c r="G149" s="217"/>
      <c r="H149" s="218"/>
      <c r="I149" s="218"/>
      <c r="L149" s="613" t="s">
        <v>375</v>
      </c>
      <c r="M149" s="613"/>
      <c r="N149" s="209"/>
    </row>
    <row r="150" spans="2:14" ht="12.75">
      <c r="B150" s="219"/>
      <c r="D150" s="209"/>
      <c r="E150" s="210"/>
      <c r="F150" s="210"/>
      <c r="G150" s="211"/>
      <c r="H150" s="210"/>
      <c r="I150" s="210"/>
      <c r="J150" s="210"/>
      <c r="K150" s="210"/>
      <c r="L150" s="210"/>
      <c r="M150" s="210"/>
      <c r="N150" s="209"/>
    </row>
    <row r="151" ht="12.75">
      <c r="B151" s="212"/>
    </row>
    <row r="152" spans="2:4" ht="12.75">
      <c r="B152" s="212"/>
      <c r="D152" s="222"/>
    </row>
    <row r="153" spans="2:15" ht="12.75">
      <c r="B153" s="212"/>
      <c r="D153" s="223"/>
      <c r="E153" s="229"/>
      <c r="F153" s="229"/>
      <c r="G153" s="229"/>
      <c r="H153" s="229"/>
      <c r="I153" s="229"/>
      <c r="J153" s="229"/>
      <c r="K153" s="229"/>
      <c r="L153" s="229"/>
      <c r="M153" s="229"/>
      <c r="N153" s="223"/>
      <c r="O153" s="227"/>
    </row>
    <row r="154" spans="2:15" ht="12.75">
      <c r="B154" s="212"/>
      <c r="D154" s="229"/>
      <c r="E154" s="227"/>
      <c r="F154" s="227"/>
      <c r="G154" s="228"/>
      <c r="H154" s="227"/>
      <c r="I154" s="227"/>
      <c r="J154" s="227"/>
      <c r="K154" s="227"/>
      <c r="L154" s="227"/>
      <c r="M154" s="227"/>
      <c r="N154" s="229"/>
      <c r="O154" s="227"/>
    </row>
    <row r="155" spans="2:15" ht="12.75">
      <c r="B155" s="212"/>
      <c r="D155" s="229"/>
      <c r="E155" s="227"/>
      <c r="F155" s="227"/>
      <c r="G155" s="228"/>
      <c r="H155" s="227"/>
      <c r="I155" s="227"/>
      <c r="J155" s="227"/>
      <c r="K155" s="227"/>
      <c r="L155" s="227"/>
      <c r="M155" s="227"/>
      <c r="N155" s="229"/>
      <c r="O155" s="227"/>
    </row>
    <row r="156" ht="12.75">
      <c r="B156" s="212"/>
    </row>
    <row r="157" ht="12.75">
      <c r="B157" s="212"/>
    </row>
    <row r="158" ht="12.75">
      <c r="B158" s="212"/>
    </row>
    <row r="159" ht="12.75">
      <c r="B159" s="212"/>
    </row>
    <row r="160" ht="12.75">
      <c r="B160" s="212"/>
    </row>
    <row r="161" ht="12.75">
      <c r="B161" s="212"/>
    </row>
    <row r="162" ht="12.75">
      <c r="B162" s="212"/>
    </row>
    <row r="163" ht="12.75">
      <c r="B163" s="212"/>
    </row>
    <row r="164" ht="12.75">
      <c r="B164" s="212"/>
    </row>
    <row r="165" ht="12.75">
      <c r="B165" s="212"/>
    </row>
    <row r="166" ht="12.75">
      <c r="B166" s="212"/>
    </row>
    <row r="167" ht="12.75">
      <c r="B167" s="212"/>
    </row>
    <row r="168" ht="12.75">
      <c r="B168" s="212"/>
    </row>
    <row r="169" ht="12.75">
      <c r="B169" s="212"/>
    </row>
    <row r="170" ht="12.75">
      <c r="B170" s="212"/>
    </row>
    <row r="171" ht="12.75">
      <c r="B171" s="212"/>
    </row>
    <row r="172" ht="12.75">
      <c r="B172" s="212"/>
    </row>
    <row r="173" ht="12.75">
      <c r="B173" s="212"/>
    </row>
    <row r="174" ht="12.75">
      <c r="B174" s="212"/>
    </row>
    <row r="175" ht="12.75">
      <c r="B175" s="212"/>
    </row>
    <row r="176" ht="12.75">
      <c r="B176" s="212"/>
    </row>
    <row r="177" ht="12.75">
      <c r="B177" s="212"/>
    </row>
    <row r="178" ht="12.75">
      <c r="B178" s="212"/>
    </row>
    <row r="179" ht="12.75">
      <c r="B179" s="212"/>
    </row>
    <row r="180" ht="12.75">
      <c r="B180" s="212"/>
    </row>
    <row r="181" ht="12.75">
      <c r="B181" s="212"/>
    </row>
    <row r="182" ht="12.75">
      <c r="B182" s="212"/>
    </row>
    <row r="183" ht="12.75">
      <c r="B183" s="212"/>
    </row>
    <row r="184" ht="12.75">
      <c r="B184" s="212"/>
    </row>
    <row r="185" ht="12.75">
      <c r="B185" s="212"/>
    </row>
    <row r="186" ht="12.75">
      <c r="B186" s="212"/>
    </row>
    <row r="187" ht="12.75">
      <c r="B187" s="212"/>
    </row>
    <row r="188" ht="12.75">
      <c r="B188" s="212"/>
    </row>
    <row r="189" ht="12.75">
      <c r="B189" s="212"/>
    </row>
    <row r="190" ht="12.75">
      <c r="B190" s="212"/>
    </row>
    <row r="191" ht="12.75">
      <c r="B191" s="212"/>
    </row>
    <row r="192" ht="12.75">
      <c r="B192" s="212"/>
    </row>
    <row r="193" ht="12.75">
      <c r="B193" s="212"/>
    </row>
    <row r="194" ht="12.75">
      <c r="B194" s="212"/>
    </row>
    <row r="195" ht="12.75">
      <c r="B195" s="212"/>
    </row>
    <row r="196" ht="12.75">
      <c r="B196" s="212"/>
    </row>
    <row r="197" ht="12.75">
      <c r="B197" s="212"/>
    </row>
    <row r="198" ht="12.75">
      <c r="B198" s="212"/>
    </row>
    <row r="199" ht="12.75">
      <c r="B199" s="212"/>
    </row>
    <row r="200" ht="12.75">
      <c r="B200" s="212"/>
    </row>
    <row r="201" ht="12.75">
      <c r="B201" s="212"/>
    </row>
    <row r="202" ht="12.75">
      <c r="B202" s="212"/>
    </row>
    <row r="203" ht="12.75">
      <c r="B203" s="212"/>
    </row>
    <row r="204" ht="12.75">
      <c r="B204" s="212"/>
    </row>
    <row r="205" ht="12.75">
      <c r="B205" s="212"/>
    </row>
    <row r="206" ht="12.75">
      <c r="B206" s="212"/>
    </row>
    <row r="207" ht="12.75">
      <c r="B207" s="212"/>
    </row>
    <row r="208" ht="12.75">
      <c r="B208" s="212"/>
    </row>
    <row r="209" ht="12.75">
      <c r="B209" s="212"/>
    </row>
    <row r="210" ht="12.75">
      <c r="B210" s="212"/>
    </row>
    <row r="211" ht="12.75">
      <c r="B211" s="212"/>
    </row>
    <row r="212" ht="12.75">
      <c r="B212" s="212"/>
    </row>
    <row r="213" ht="12.75">
      <c r="B213" s="212"/>
    </row>
    <row r="214" ht="12.75">
      <c r="B214" s="212"/>
    </row>
    <row r="215" ht="12.75">
      <c r="B215" s="212"/>
    </row>
    <row r="216" ht="12.75">
      <c r="B216" s="212"/>
    </row>
    <row r="217" ht="12.75">
      <c r="B217" s="212"/>
    </row>
    <row r="218" ht="12.75">
      <c r="B218" s="212"/>
    </row>
    <row r="219" ht="12.75">
      <c r="B219" s="212"/>
    </row>
    <row r="220" ht="12.75">
      <c r="B220" s="212"/>
    </row>
    <row r="221" ht="12.75">
      <c r="B221" s="212"/>
    </row>
    <row r="222" ht="12.75">
      <c r="B222" s="212"/>
    </row>
    <row r="223" ht="12.75">
      <c r="B223" s="212"/>
    </row>
    <row r="224" ht="12.75">
      <c r="B224" s="212"/>
    </row>
    <row r="225" ht="12.75">
      <c r="B225" s="212"/>
    </row>
    <row r="226" ht="12.75">
      <c r="B226" s="212"/>
    </row>
    <row r="227" ht="12.75">
      <c r="B227" s="212"/>
    </row>
    <row r="228" ht="12.75">
      <c r="B228" s="212"/>
    </row>
    <row r="229" ht="12.75">
      <c r="B229" s="212"/>
    </row>
    <row r="230" ht="12.75">
      <c r="B230" s="212"/>
    </row>
    <row r="231" ht="12.75">
      <c r="B231" s="212"/>
    </row>
    <row r="232" ht="12.75">
      <c r="B232" s="212"/>
    </row>
    <row r="233" ht="12.75">
      <c r="B233" s="212"/>
    </row>
    <row r="234" ht="12.75">
      <c r="B234" s="212"/>
    </row>
    <row r="235" ht="12.75">
      <c r="B235" s="212"/>
    </row>
    <row r="236" ht="12.75">
      <c r="B236" s="212"/>
    </row>
    <row r="237" ht="12.75">
      <c r="B237" s="212"/>
    </row>
    <row r="238" ht="12.75">
      <c r="B238" s="212"/>
    </row>
    <row r="239" ht="12.75">
      <c r="B239" s="212"/>
    </row>
    <row r="240" ht="12.75">
      <c r="B240" s="212"/>
    </row>
    <row r="241" ht="12.75">
      <c r="B241" s="212"/>
    </row>
    <row r="242" ht="12.75">
      <c r="B242" s="212"/>
    </row>
    <row r="243" ht="12.75">
      <c r="B243" s="212"/>
    </row>
    <row r="244" ht="12.75">
      <c r="B244" s="212"/>
    </row>
    <row r="245" ht="12.75">
      <c r="B245" s="212"/>
    </row>
    <row r="246" ht="12.75">
      <c r="B246" s="212"/>
    </row>
    <row r="247" ht="12.75">
      <c r="B247" s="212"/>
    </row>
    <row r="248" ht="12.75">
      <c r="B248" s="212"/>
    </row>
    <row r="249" ht="12.75">
      <c r="B249" s="212"/>
    </row>
    <row r="250" ht="12.75">
      <c r="B250" s="212"/>
    </row>
    <row r="251" ht="12.75">
      <c r="B251" s="212"/>
    </row>
    <row r="252" ht="12.75">
      <c r="B252" s="212"/>
    </row>
    <row r="253" ht="12.75">
      <c r="B253" s="212"/>
    </row>
    <row r="254" ht="12.75">
      <c r="B254" s="212"/>
    </row>
    <row r="255" ht="12.75">
      <c r="B255" s="212"/>
    </row>
    <row r="256" ht="12.75">
      <c r="B256" s="212"/>
    </row>
    <row r="257" ht="12.75">
      <c r="B257" s="212"/>
    </row>
    <row r="258" ht="12.75">
      <c r="B258" s="212"/>
    </row>
    <row r="259" ht="12.75">
      <c r="B259" s="212"/>
    </row>
    <row r="260" ht="12.75">
      <c r="B260" s="212"/>
    </row>
    <row r="261" ht="12.75">
      <c r="B261" s="212"/>
    </row>
    <row r="262" ht="12.75">
      <c r="B262" s="212"/>
    </row>
    <row r="263" ht="12.75">
      <c r="B263" s="212"/>
    </row>
    <row r="264" ht="12.75">
      <c r="B264" s="212"/>
    </row>
    <row r="265" ht="12.75">
      <c r="B265" s="212"/>
    </row>
    <row r="266" ht="12.75">
      <c r="B266" s="212"/>
    </row>
    <row r="267" ht="12.75">
      <c r="B267" s="212"/>
    </row>
    <row r="268" ht="12.75">
      <c r="B268" s="212"/>
    </row>
    <row r="269" ht="12.75">
      <c r="B269" s="212"/>
    </row>
    <row r="270" ht="12.75">
      <c r="B270" s="212"/>
    </row>
    <row r="271" ht="12.75">
      <c r="B271" s="212"/>
    </row>
    <row r="272" ht="12.75">
      <c r="B272" s="212"/>
    </row>
    <row r="273" ht="12.75">
      <c r="B273" s="212"/>
    </row>
    <row r="274" ht="12.75">
      <c r="B274" s="212"/>
    </row>
    <row r="275" ht="12.75">
      <c r="B275" s="212"/>
    </row>
    <row r="276" ht="12.75">
      <c r="B276" s="212"/>
    </row>
    <row r="277" ht="12.75">
      <c r="B277" s="212"/>
    </row>
    <row r="278" ht="12.75">
      <c r="B278" s="212"/>
    </row>
    <row r="279" ht="12.75">
      <c r="B279" s="212"/>
    </row>
    <row r="280" ht="12.75">
      <c r="B280" s="212"/>
    </row>
    <row r="281" ht="12.75">
      <c r="B281" s="212"/>
    </row>
    <row r="282" ht="12.75">
      <c r="B282" s="212"/>
    </row>
    <row r="283" ht="12.75">
      <c r="B283" s="212"/>
    </row>
    <row r="284" ht="12.75">
      <c r="B284" s="212"/>
    </row>
    <row r="285" ht="12.75">
      <c r="B285" s="212"/>
    </row>
    <row r="286" ht="12.75">
      <c r="B286" s="212"/>
    </row>
    <row r="287" ht="12.75">
      <c r="B287" s="212"/>
    </row>
    <row r="288" ht="12.75">
      <c r="B288" s="212"/>
    </row>
    <row r="289" ht="12.75">
      <c r="B289" s="212"/>
    </row>
    <row r="290" ht="12.75">
      <c r="B290" s="212"/>
    </row>
    <row r="291" ht="12.75">
      <c r="B291" s="212"/>
    </row>
    <row r="292" ht="12.75">
      <c r="B292" s="212"/>
    </row>
    <row r="293" ht="12.75">
      <c r="B293" s="212"/>
    </row>
    <row r="294" ht="12.75">
      <c r="B294" s="212"/>
    </row>
    <row r="295" ht="12.75">
      <c r="B295" s="212"/>
    </row>
    <row r="296" ht="12.75">
      <c r="B296" s="212"/>
    </row>
    <row r="297" ht="12.75">
      <c r="B297" s="212"/>
    </row>
    <row r="298" ht="12.75">
      <c r="B298" s="212"/>
    </row>
    <row r="299" ht="12.75">
      <c r="B299" s="212"/>
    </row>
    <row r="300" ht="12.75">
      <c r="B300" s="212"/>
    </row>
    <row r="301" ht="12.75">
      <c r="B301" s="212"/>
    </row>
    <row r="302" ht="12.75">
      <c r="B302" s="212"/>
    </row>
    <row r="303" ht="12.75">
      <c r="B303" s="212"/>
    </row>
    <row r="304" ht="12.75">
      <c r="B304" s="212"/>
    </row>
    <row r="305" ht="12.75">
      <c r="B305" s="212"/>
    </row>
    <row r="306" ht="12.75">
      <c r="B306" s="212"/>
    </row>
    <row r="307" ht="12.75">
      <c r="B307" s="212"/>
    </row>
    <row r="308" ht="12.75">
      <c r="B308" s="212"/>
    </row>
  </sheetData>
  <mergeCells count="22">
    <mergeCell ref="A7:A10"/>
    <mergeCell ref="D7:F7"/>
    <mergeCell ref="G7:M7"/>
    <mergeCell ref="N7:N10"/>
    <mergeCell ref="B8:B10"/>
    <mergeCell ref="C8:C10"/>
    <mergeCell ref="D8:D10"/>
    <mergeCell ref="E8:F8"/>
    <mergeCell ref="I8:J8"/>
    <mergeCell ref="K8:K10"/>
    <mergeCell ref="B4:N4"/>
    <mergeCell ref="B5:N5"/>
    <mergeCell ref="C149:E149"/>
    <mergeCell ref="L149:M149"/>
    <mergeCell ref="L8:M8"/>
    <mergeCell ref="E9:E10"/>
    <mergeCell ref="F9:F10"/>
    <mergeCell ref="I9:I10"/>
    <mergeCell ref="J9:J10"/>
    <mergeCell ref="L9:L10"/>
    <mergeCell ref="G8:G10"/>
    <mergeCell ref="H8:H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162"/>
  <sheetViews>
    <sheetView workbookViewId="0" topLeftCell="A1">
      <selection activeCell="D23" sqref="D23"/>
    </sheetView>
  </sheetViews>
  <sheetFormatPr defaultColWidth="9.33203125" defaultRowHeight="12.75"/>
  <cols>
    <col min="1" max="1" width="8" style="230" customWidth="1"/>
    <col min="2" max="2" width="6" style="230" hidden="1" customWidth="1"/>
    <col min="3" max="3" width="5.83203125" style="230" hidden="1" customWidth="1"/>
    <col min="4" max="4" width="29.83203125" style="230" customWidth="1"/>
    <col min="5" max="5" width="29" style="278" customWidth="1"/>
    <col min="6" max="6" width="25" style="278" customWidth="1"/>
    <col min="7" max="7" width="29.83203125" style="278" customWidth="1"/>
    <col min="8" max="10" width="27.16015625" style="278" customWidth="1"/>
    <col min="11" max="11" width="21.33203125" style="233" customWidth="1"/>
    <col min="12" max="12" width="22.5" style="233" customWidth="1"/>
    <col min="13" max="13" width="16.5" style="233" customWidth="1"/>
    <col min="14" max="14" width="16.66015625" style="233" bestFit="1" customWidth="1"/>
    <col min="15" max="24" width="9.33203125" style="233" customWidth="1"/>
    <col min="25" max="16384" width="9.33203125" style="230" customWidth="1"/>
  </cols>
  <sheetData>
    <row r="1" spans="4:10" ht="14.25" customHeight="1">
      <c r="D1" s="231"/>
      <c r="E1" s="232"/>
      <c r="F1" s="232"/>
      <c r="G1" s="56"/>
      <c r="H1" s="56"/>
      <c r="I1" s="56"/>
      <c r="J1" s="56" t="s">
        <v>681</v>
      </c>
    </row>
    <row r="2" spans="4:10" ht="18" customHeight="1">
      <c r="D2" s="231"/>
      <c r="E2" s="232"/>
      <c r="F2" s="232"/>
      <c r="G2" s="55"/>
      <c r="H2" s="55"/>
      <c r="I2" s="55"/>
      <c r="J2" s="55" t="s">
        <v>377</v>
      </c>
    </row>
    <row r="3" spans="4:10" ht="16.5" customHeight="1">
      <c r="D3" s="231"/>
      <c r="E3" s="232"/>
      <c r="F3" s="232"/>
      <c r="G3" s="55"/>
      <c r="H3" s="55"/>
      <c r="I3" s="55"/>
      <c r="J3" s="55" t="s">
        <v>411</v>
      </c>
    </row>
    <row r="4" spans="4:10" ht="13.5" customHeight="1">
      <c r="D4" s="231"/>
      <c r="E4" s="232"/>
      <c r="F4" s="232"/>
      <c r="G4" s="55"/>
      <c r="H4" s="55"/>
      <c r="I4" s="55"/>
      <c r="J4" s="55"/>
    </row>
    <row r="5" spans="1:14" ht="22.5" customHeight="1">
      <c r="A5" s="456" t="s">
        <v>682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234"/>
      <c r="M5" s="234"/>
      <c r="N5" s="234"/>
    </row>
    <row r="6" spans="1:12" ht="12.75" customHeight="1">
      <c r="A6" s="235"/>
      <c r="B6" s="235"/>
      <c r="D6" s="236"/>
      <c r="E6" s="237"/>
      <c r="F6" s="237"/>
      <c r="G6" s="238"/>
      <c r="H6" s="238"/>
      <c r="I6" s="238"/>
      <c r="J6" s="238"/>
      <c r="K6" s="237" t="s">
        <v>417</v>
      </c>
      <c r="L6" s="239"/>
    </row>
    <row r="7" spans="1:18" ht="15" customHeight="1">
      <c r="A7" s="457" t="s">
        <v>683</v>
      </c>
      <c r="B7" s="458"/>
      <c r="C7" s="459" t="s">
        <v>684</v>
      </c>
      <c r="D7" s="397" t="s">
        <v>685</v>
      </c>
      <c r="E7" s="398" t="s">
        <v>591</v>
      </c>
      <c r="F7" s="398"/>
      <c r="G7" s="398"/>
      <c r="H7" s="241"/>
      <c r="I7" s="241"/>
      <c r="J7" s="241"/>
      <c r="K7" s="339" t="s">
        <v>367</v>
      </c>
      <c r="L7" s="242"/>
      <c r="M7" s="243"/>
      <c r="N7" s="243"/>
      <c r="O7" s="243"/>
      <c r="P7" s="243"/>
      <c r="Q7" s="243"/>
      <c r="R7" s="243"/>
    </row>
    <row r="8" spans="1:18" ht="15" customHeight="1">
      <c r="A8" s="457"/>
      <c r="B8" s="458"/>
      <c r="C8" s="459"/>
      <c r="D8" s="397"/>
      <c r="E8" s="244" t="s">
        <v>686</v>
      </c>
      <c r="F8" s="311" t="s">
        <v>366</v>
      </c>
      <c r="G8" s="398"/>
      <c r="H8" s="398"/>
      <c r="I8" s="398"/>
      <c r="J8" s="312"/>
      <c r="K8" s="339"/>
      <c r="L8" s="242"/>
      <c r="M8" s="243"/>
      <c r="N8" s="243"/>
      <c r="O8" s="243"/>
      <c r="P8" s="243"/>
      <c r="Q8" s="243"/>
      <c r="R8" s="243"/>
    </row>
    <row r="9" spans="1:18" ht="31.5" customHeight="1">
      <c r="A9" s="457"/>
      <c r="B9" s="458"/>
      <c r="C9" s="459"/>
      <c r="D9" s="397"/>
      <c r="E9" s="240" t="s">
        <v>687</v>
      </c>
      <c r="F9" s="253" t="s">
        <v>688</v>
      </c>
      <c r="G9" s="397" t="s">
        <v>689</v>
      </c>
      <c r="H9" s="397"/>
      <c r="I9" s="397"/>
      <c r="J9" s="397"/>
      <c r="K9" s="339"/>
      <c r="L9" s="242"/>
      <c r="M9" s="243"/>
      <c r="N9" s="243"/>
      <c r="O9" s="243"/>
      <c r="P9" s="243"/>
      <c r="Q9" s="243"/>
      <c r="R9" s="243"/>
    </row>
    <row r="10" spans="1:129" ht="80.25" customHeight="1">
      <c r="A10" s="457"/>
      <c r="B10" s="458"/>
      <c r="C10" s="459"/>
      <c r="D10" s="397"/>
      <c r="E10" s="553" t="s">
        <v>690</v>
      </c>
      <c r="F10" s="254"/>
      <c r="G10" s="553" t="s">
        <v>691</v>
      </c>
      <c r="H10" s="553" t="s">
        <v>692</v>
      </c>
      <c r="I10" s="553" t="s">
        <v>693</v>
      </c>
      <c r="J10" s="553" t="s">
        <v>694</v>
      </c>
      <c r="K10" s="339"/>
      <c r="L10" s="242"/>
      <c r="M10" s="245"/>
      <c r="N10" s="245"/>
      <c r="O10" s="245"/>
      <c r="P10" s="245"/>
      <c r="Q10" s="245"/>
      <c r="R10" s="245"/>
      <c r="S10" s="169"/>
      <c r="T10" s="169"/>
      <c r="U10" s="169"/>
      <c r="V10" s="169"/>
      <c r="W10" s="169"/>
      <c r="X10" s="169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</row>
    <row r="11" spans="1:129" ht="18" customHeight="1">
      <c r="A11" s="457"/>
      <c r="B11" s="458"/>
      <c r="C11" s="459"/>
      <c r="D11" s="397"/>
      <c r="E11" s="554"/>
      <c r="F11" s="254"/>
      <c r="G11" s="554"/>
      <c r="H11" s="554"/>
      <c r="I11" s="554"/>
      <c r="J11" s="554"/>
      <c r="K11" s="339"/>
      <c r="L11" s="242"/>
      <c r="M11" s="245"/>
      <c r="N11" s="245"/>
      <c r="O11" s="245"/>
      <c r="P11" s="245"/>
      <c r="Q11" s="245"/>
      <c r="R11" s="245"/>
      <c r="S11" s="169"/>
      <c r="T11" s="169"/>
      <c r="U11" s="169"/>
      <c r="V11" s="169"/>
      <c r="W11" s="169"/>
      <c r="X11" s="169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</row>
    <row r="12" spans="1:129" ht="21.75" customHeight="1">
      <c r="A12" s="457"/>
      <c r="B12" s="458"/>
      <c r="C12" s="459"/>
      <c r="D12" s="397"/>
      <c r="E12" s="491"/>
      <c r="F12" s="255"/>
      <c r="G12" s="491"/>
      <c r="H12" s="491"/>
      <c r="I12" s="491"/>
      <c r="J12" s="491"/>
      <c r="K12" s="339"/>
      <c r="L12" s="242"/>
      <c r="M12" s="245"/>
      <c r="N12" s="245"/>
      <c r="O12" s="245"/>
      <c r="P12" s="245"/>
      <c r="Q12" s="245"/>
      <c r="R12" s="245"/>
      <c r="S12" s="169"/>
      <c r="T12" s="169"/>
      <c r="U12" s="169"/>
      <c r="V12" s="169"/>
      <c r="W12" s="169"/>
      <c r="X12" s="169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</row>
    <row r="13" spans="1:24" s="251" customFormat="1" ht="10.5" customHeight="1">
      <c r="A13" s="247">
        <v>1</v>
      </c>
      <c r="B13" s="247"/>
      <c r="C13" s="247"/>
      <c r="D13" s="247">
        <v>2</v>
      </c>
      <c r="E13" s="247">
        <v>3</v>
      </c>
      <c r="F13" s="247">
        <v>4</v>
      </c>
      <c r="G13" s="247">
        <v>5</v>
      </c>
      <c r="H13" s="247">
        <v>6</v>
      </c>
      <c r="I13" s="247">
        <v>7</v>
      </c>
      <c r="J13" s="247">
        <v>8</v>
      </c>
      <c r="K13" s="247">
        <v>9</v>
      </c>
      <c r="L13" s="248"/>
      <c r="M13" s="249"/>
      <c r="N13" s="249"/>
      <c r="O13" s="249"/>
      <c r="P13" s="249"/>
      <c r="Q13" s="249"/>
      <c r="R13" s="249"/>
      <c r="S13" s="250"/>
      <c r="T13" s="250"/>
      <c r="U13" s="250"/>
      <c r="V13" s="250"/>
      <c r="W13" s="250"/>
      <c r="X13" s="250"/>
    </row>
    <row r="14" spans="1:18" ht="15" customHeight="1">
      <c r="A14" s="252">
        <v>1</v>
      </c>
      <c r="B14" s="256"/>
      <c r="C14" s="256"/>
      <c r="D14" s="257" t="s">
        <v>695</v>
      </c>
      <c r="E14" s="258"/>
      <c r="F14" s="258"/>
      <c r="G14" s="258"/>
      <c r="H14" s="259">
        <v>282321.4</v>
      </c>
      <c r="I14" s="258"/>
      <c r="J14" s="258"/>
      <c r="K14" s="260">
        <f>E14+F14+G14+H14+I14+J14</f>
        <v>282321.4</v>
      </c>
      <c r="L14" s="261"/>
      <c r="M14" s="243"/>
      <c r="N14" s="243"/>
      <c r="O14" s="243"/>
      <c r="P14" s="243"/>
      <c r="Q14" s="243"/>
      <c r="R14" s="243"/>
    </row>
    <row r="15" spans="1:18" ht="15" customHeight="1">
      <c r="A15" s="252">
        <v>2</v>
      </c>
      <c r="B15" s="256"/>
      <c r="C15" s="256"/>
      <c r="D15" s="257" t="s">
        <v>396</v>
      </c>
      <c r="E15" s="258"/>
      <c r="F15" s="258"/>
      <c r="G15" s="258"/>
      <c r="H15" s="258"/>
      <c r="I15" s="258"/>
      <c r="J15" s="258"/>
      <c r="K15" s="260">
        <f>E15+F15+G15+H15+I15+J15</f>
        <v>0</v>
      </c>
      <c r="L15" s="261"/>
      <c r="M15" s="243"/>
      <c r="N15" s="243"/>
      <c r="O15" s="243"/>
      <c r="P15" s="243"/>
      <c r="Q15" s="243"/>
      <c r="R15" s="243"/>
    </row>
    <row r="16" spans="1:12" ht="15" customHeight="1">
      <c r="A16" s="252">
        <v>3</v>
      </c>
      <c r="B16" s="262"/>
      <c r="C16" s="262"/>
      <c r="D16" s="263" t="s">
        <v>696</v>
      </c>
      <c r="E16" s="258"/>
      <c r="F16" s="258"/>
      <c r="G16" s="264"/>
      <c r="H16" s="264"/>
      <c r="I16" s="264"/>
      <c r="J16" s="264"/>
      <c r="K16" s="260">
        <f>E16+F16+G16+H16+I16+J16</f>
        <v>0</v>
      </c>
      <c r="L16" s="261"/>
    </row>
    <row r="17" spans="1:12" ht="15" customHeight="1">
      <c r="A17" s="252">
        <v>4</v>
      </c>
      <c r="B17" s="262"/>
      <c r="C17" s="262"/>
      <c r="D17" s="263" t="s">
        <v>697</v>
      </c>
      <c r="E17" s="258"/>
      <c r="F17" s="259">
        <v>51323.8</v>
      </c>
      <c r="G17" s="264"/>
      <c r="H17" s="264"/>
      <c r="I17" s="264"/>
      <c r="J17" s="264"/>
      <c r="K17" s="260">
        <f>E17+F17+G17+H17+I17+J17</f>
        <v>51323.8</v>
      </c>
      <c r="L17" s="261"/>
    </row>
    <row r="18" spans="1:12" ht="26.25" customHeight="1">
      <c r="A18" s="265"/>
      <c r="B18" s="262"/>
      <c r="C18" s="262"/>
      <c r="D18" s="266" t="s">
        <v>698</v>
      </c>
      <c r="E18" s="267">
        <f>SUM(E14:E17)</f>
        <v>0</v>
      </c>
      <c r="F18" s="267">
        <f aca="true" t="shared" si="0" ref="F18:K18">SUM(F14:F17)</f>
        <v>51323.8</v>
      </c>
      <c r="G18" s="267">
        <f t="shared" si="0"/>
        <v>0</v>
      </c>
      <c r="H18" s="267">
        <f t="shared" si="0"/>
        <v>282321.4</v>
      </c>
      <c r="I18" s="267">
        <f t="shared" si="0"/>
        <v>0</v>
      </c>
      <c r="J18" s="267">
        <f t="shared" si="0"/>
        <v>0</v>
      </c>
      <c r="K18" s="267">
        <f t="shared" si="0"/>
        <v>333645.2</v>
      </c>
      <c r="L18" s="268"/>
    </row>
    <row r="19" spans="1:12" ht="15" customHeight="1">
      <c r="A19" s="269">
        <v>5</v>
      </c>
      <c r="B19" s="262"/>
      <c r="C19" s="262"/>
      <c r="D19" s="263" t="s">
        <v>699</v>
      </c>
      <c r="E19" s="259">
        <v>16600</v>
      </c>
      <c r="F19" s="259"/>
      <c r="G19" s="264"/>
      <c r="H19" s="264"/>
      <c r="I19" s="264"/>
      <c r="J19" s="264"/>
      <c r="K19" s="260">
        <f aca="true" t="shared" si="1" ref="K19:K37">E19+F19+G19+H19+I19+J19</f>
        <v>16600</v>
      </c>
      <c r="L19" s="261"/>
    </row>
    <row r="20" spans="1:12" ht="15" customHeight="1">
      <c r="A20" s="269">
        <v>6</v>
      </c>
      <c r="B20" s="262"/>
      <c r="C20" s="262"/>
      <c r="D20" s="263" t="s">
        <v>700</v>
      </c>
      <c r="E20" s="258"/>
      <c r="F20" s="259">
        <v>83700</v>
      </c>
      <c r="G20" s="264"/>
      <c r="H20" s="264"/>
      <c r="I20" s="264"/>
      <c r="J20" s="264"/>
      <c r="K20" s="260">
        <f t="shared" si="1"/>
        <v>83700</v>
      </c>
      <c r="L20" s="261"/>
    </row>
    <row r="21" spans="1:12" ht="15" customHeight="1">
      <c r="A21" s="269">
        <v>7</v>
      </c>
      <c r="B21" s="262"/>
      <c r="C21" s="262"/>
      <c r="D21" s="263" t="s">
        <v>701</v>
      </c>
      <c r="E21" s="258"/>
      <c r="F21" s="258"/>
      <c r="G21" s="264"/>
      <c r="H21" s="264"/>
      <c r="I21" s="264"/>
      <c r="J21" s="264"/>
      <c r="K21" s="260">
        <f t="shared" si="1"/>
        <v>0</v>
      </c>
      <c r="L21" s="261"/>
    </row>
    <row r="22" spans="1:12" ht="15" customHeight="1">
      <c r="A22" s="269">
        <v>8</v>
      </c>
      <c r="B22" s="262"/>
      <c r="C22" s="262"/>
      <c r="D22" s="263" t="s">
        <v>702</v>
      </c>
      <c r="E22" s="258"/>
      <c r="F22" s="258"/>
      <c r="G22" s="264"/>
      <c r="H22" s="264"/>
      <c r="I22" s="264"/>
      <c r="J22" s="264"/>
      <c r="K22" s="260">
        <f t="shared" si="1"/>
        <v>0</v>
      </c>
      <c r="L22" s="261"/>
    </row>
    <row r="23" spans="1:12" ht="15" customHeight="1">
      <c r="A23" s="269">
        <v>9</v>
      </c>
      <c r="B23" s="262"/>
      <c r="C23" s="262"/>
      <c r="D23" s="263" t="s">
        <v>703</v>
      </c>
      <c r="E23" s="258"/>
      <c r="F23" s="258"/>
      <c r="G23" s="270">
        <v>32000</v>
      </c>
      <c r="H23" s="264"/>
      <c r="I23" s="264"/>
      <c r="J23" s="264"/>
      <c r="K23" s="260">
        <f t="shared" si="1"/>
        <v>32000</v>
      </c>
      <c r="L23" s="261"/>
    </row>
    <row r="24" spans="1:12" ht="15" customHeight="1">
      <c r="A24" s="269">
        <v>10</v>
      </c>
      <c r="B24" s="262"/>
      <c r="C24" s="262"/>
      <c r="D24" s="263" t="s">
        <v>704</v>
      </c>
      <c r="E24" s="258"/>
      <c r="F24" s="258"/>
      <c r="G24" s="270"/>
      <c r="H24" s="264"/>
      <c r="I24" s="264"/>
      <c r="J24" s="264"/>
      <c r="K24" s="260">
        <f t="shared" si="1"/>
        <v>0</v>
      </c>
      <c r="L24" s="261"/>
    </row>
    <row r="25" spans="1:12" ht="15" customHeight="1">
      <c r="A25" s="269">
        <v>11</v>
      </c>
      <c r="B25" s="262"/>
      <c r="C25" s="262"/>
      <c r="D25" s="263" t="s">
        <v>705</v>
      </c>
      <c r="E25" s="258"/>
      <c r="F25" s="258"/>
      <c r="G25" s="270"/>
      <c r="H25" s="264"/>
      <c r="I25" s="264"/>
      <c r="J25" s="264"/>
      <c r="K25" s="260">
        <f t="shared" si="1"/>
        <v>0</v>
      </c>
      <c r="L25" s="261"/>
    </row>
    <row r="26" spans="1:12" ht="15" customHeight="1">
      <c r="A26" s="269">
        <v>12</v>
      </c>
      <c r="B26" s="262"/>
      <c r="C26" s="262"/>
      <c r="D26" s="271" t="s">
        <v>706</v>
      </c>
      <c r="E26" s="258"/>
      <c r="F26" s="258"/>
      <c r="G26" s="270"/>
      <c r="H26" s="264"/>
      <c r="I26" s="259">
        <v>120913.2</v>
      </c>
      <c r="J26" s="264"/>
      <c r="K26" s="260">
        <f t="shared" si="1"/>
        <v>120913.2</v>
      </c>
      <c r="L26" s="261"/>
    </row>
    <row r="27" spans="1:12" ht="15" customHeight="1">
      <c r="A27" s="269">
        <v>13</v>
      </c>
      <c r="B27" s="262"/>
      <c r="C27" s="262"/>
      <c r="D27" s="272" t="s">
        <v>707</v>
      </c>
      <c r="E27" s="258"/>
      <c r="F27" s="258"/>
      <c r="G27" s="270"/>
      <c r="H27" s="264"/>
      <c r="I27" s="264"/>
      <c r="J27" s="264"/>
      <c r="K27" s="260">
        <f t="shared" si="1"/>
        <v>0</v>
      </c>
      <c r="L27" s="261"/>
    </row>
    <row r="28" spans="1:12" ht="15" customHeight="1">
      <c r="A28" s="269">
        <v>14</v>
      </c>
      <c r="B28" s="262"/>
      <c r="C28" s="262"/>
      <c r="D28" s="263" t="s">
        <v>708</v>
      </c>
      <c r="E28" s="258"/>
      <c r="F28" s="259">
        <v>72538</v>
      </c>
      <c r="G28" s="270">
        <v>5000</v>
      </c>
      <c r="H28" s="264"/>
      <c r="I28" s="264"/>
      <c r="J28" s="264"/>
      <c r="K28" s="260">
        <f t="shared" si="1"/>
        <v>77538</v>
      </c>
      <c r="L28" s="261"/>
    </row>
    <row r="29" spans="1:12" ht="15" customHeight="1">
      <c r="A29" s="269">
        <v>15</v>
      </c>
      <c r="B29" s="262"/>
      <c r="C29" s="262"/>
      <c r="D29" s="263" t="s">
        <v>709</v>
      </c>
      <c r="E29" s="258"/>
      <c r="F29" s="259"/>
      <c r="G29" s="264"/>
      <c r="H29" s="264"/>
      <c r="I29" s="264"/>
      <c r="J29" s="264"/>
      <c r="K29" s="260">
        <f t="shared" si="1"/>
        <v>0</v>
      </c>
      <c r="L29" s="261"/>
    </row>
    <row r="30" spans="1:12" ht="15" customHeight="1">
      <c r="A30" s="269">
        <v>16</v>
      </c>
      <c r="B30" s="262"/>
      <c r="C30" s="262"/>
      <c r="D30" s="263" t="s">
        <v>710</v>
      </c>
      <c r="E30" s="258"/>
      <c r="F30" s="259">
        <f>167638.08+177593</f>
        <v>345231.07999999996</v>
      </c>
      <c r="G30" s="264"/>
      <c r="H30" s="264"/>
      <c r="I30" s="264"/>
      <c r="J30" s="259">
        <v>93726.5</v>
      </c>
      <c r="K30" s="260">
        <f t="shared" si="1"/>
        <v>438957.57999999996</v>
      </c>
      <c r="L30" s="261"/>
    </row>
    <row r="31" spans="1:12" ht="15" customHeight="1">
      <c r="A31" s="269">
        <v>17</v>
      </c>
      <c r="B31" s="262"/>
      <c r="C31" s="262"/>
      <c r="D31" s="263" t="s">
        <v>711</v>
      </c>
      <c r="E31" s="258"/>
      <c r="F31" s="258"/>
      <c r="G31" s="264"/>
      <c r="H31" s="264"/>
      <c r="I31" s="264"/>
      <c r="J31" s="264"/>
      <c r="K31" s="260">
        <f t="shared" si="1"/>
        <v>0</v>
      </c>
      <c r="L31" s="261"/>
    </row>
    <row r="32" spans="1:12" ht="15" customHeight="1">
      <c r="A32" s="269">
        <v>18</v>
      </c>
      <c r="B32" s="262"/>
      <c r="C32" s="262"/>
      <c r="D32" s="263" t="s">
        <v>712</v>
      </c>
      <c r="E32" s="258"/>
      <c r="F32" s="258"/>
      <c r="G32" s="264"/>
      <c r="H32" s="264"/>
      <c r="I32" s="264"/>
      <c r="J32" s="264"/>
      <c r="K32" s="260">
        <f t="shared" si="1"/>
        <v>0</v>
      </c>
      <c r="L32" s="261"/>
    </row>
    <row r="33" spans="1:12" ht="15" customHeight="1">
      <c r="A33" s="269">
        <v>19</v>
      </c>
      <c r="B33" s="262"/>
      <c r="C33" s="262"/>
      <c r="D33" s="263" t="s">
        <v>713</v>
      </c>
      <c r="E33" s="258"/>
      <c r="F33" s="258"/>
      <c r="G33" s="264"/>
      <c r="H33" s="264"/>
      <c r="I33" s="264"/>
      <c r="J33" s="264"/>
      <c r="K33" s="260">
        <f t="shared" si="1"/>
        <v>0</v>
      </c>
      <c r="L33" s="261"/>
    </row>
    <row r="34" spans="1:12" ht="15" customHeight="1">
      <c r="A34" s="269">
        <v>20</v>
      </c>
      <c r="B34" s="262"/>
      <c r="C34" s="262"/>
      <c r="D34" s="263" t="s">
        <v>714</v>
      </c>
      <c r="E34" s="258"/>
      <c r="F34" s="258"/>
      <c r="G34" s="264"/>
      <c r="H34" s="264"/>
      <c r="I34" s="264"/>
      <c r="J34" s="264"/>
      <c r="K34" s="260">
        <f t="shared" si="1"/>
        <v>0</v>
      </c>
      <c r="L34" s="261"/>
    </row>
    <row r="35" spans="1:12" ht="27" customHeight="1">
      <c r="A35" s="273"/>
      <c r="B35" s="262"/>
      <c r="C35" s="262"/>
      <c r="D35" s="274" t="s">
        <v>715</v>
      </c>
      <c r="E35" s="267">
        <f aca="true" t="shared" si="2" ref="E35:K35">SUM(E19:E34)</f>
        <v>16600</v>
      </c>
      <c r="F35" s="267">
        <f t="shared" si="2"/>
        <v>501469.07999999996</v>
      </c>
      <c r="G35" s="267">
        <f t="shared" si="2"/>
        <v>37000</v>
      </c>
      <c r="H35" s="267">
        <f t="shared" si="2"/>
        <v>0</v>
      </c>
      <c r="I35" s="267">
        <f t="shared" si="2"/>
        <v>120913.2</v>
      </c>
      <c r="J35" s="267">
        <f t="shared" si="2"/>
        <v>93726.5</v>
      </c>
      <c r="K35" s="267">
        <f t="shared" si="2"/>
        <v>769708.78</v>
      </c>
      <c r="L35" s="268"/>
    </row>
    <row r="36" spans="1:12" ht="39.75" customHeight="1">
      <c r="A36" s="273"/>
      <c r="B36" s="262"/>
      <c r="C36" s="262"/>
      <c r="D36" s="274" t="s">
        <v>716</v>
      </c>
      <c r="E36" s="267">
        <f aca="true" t="shared" si="3" ref="E36:K36">E35+E18</f>
        <v>16600</v>
      </c>
      <c r="F36" s="267">
        <f t="shared" si="3"/>
        <v>552792.88</v>
      </c>
      <c r="G36" s="267">
        <f t="shared" si="3"/>
        <v>37000</v>
      </c>
      <c r="H36" s="267">
        <f t="shared" si="3"/>
        <v>282321.4</v>
      </c>
      <c r="I36" s="267">
        <f t="shared" si="3"/>
        <v>120913.2</v>
      </c>
      <c r="J36" s="267">
        <f t="shared" si="3"/>
        <v>93726.5</v>
      </c>
      <c r="K36" s="267">
        <f t="shared" si="3"/>
        <v>1103353.98</v>
      </c>
      <c r="L36" s="268"/>
    </row>
    <row r="37" spans="1:12" ht="15.75">
      <c r="A37" s="269">
        <v>21</v>
      </c>
      <c r="B37" s="262"/>
      <c r="C37" s="262"/>
      <c r="D37" s="275" t="s">
        <v>717</v>
      </c>
      <c r="E37" s="276"/>
      <c r="F37" s="276"/>
      <c r="G37" s="264"/>
      <c r="H37" s="264"/>
      <c r="I37" s="264"/>
      <c r="J37" s="264"/>
      <c r="K37" s="260">
        <f t="shared" si="1"/>
        <v>0</v>
      </c>
      <c r="L37" s="261"/>
    </row>
    <row r="38" spans="1:14" ht="26.25" customHeight="1">
      <c r="A38" s="273"/>
      <c r="B38" s="262"/>
      <c r="C38" s="262"/>
      <c r="D38" s="274" t="s">
        <v>718</v>
      </c>
      <c r="E38" s="267">
        <f aca="true" t="shared" si="4" ref="E38:K38">E36+E37</f>
        <v>16600</v>
      </c>
      <c r="F38" s="267">
        <f t="shared" si="4"/>
        <v>552792.88</v>
      </c>
      <c r="G38" s="267">
        <f t="shared" si="4"/>
        <v>37000</v>
      </c>
      <c r="H38" s="267">
        <f t="shared" si="4"/>
        <v>282321.4</v>
      </c>
      <c r="I38" s="267">
        <f t="shared" si="4"/>
        <v>120913.2</v>
      </c>
      <c r="J38" s="267">
        <f t="shared" si="4"/>
        <v>93726.5</v>
      </c>
      <c r="K38" s="267">
        <f t="shared" si="4"/>
        <v>1103353.98</v>
      </c>
      <c r="L38" s="268"/>
      <c r="M38" s="277"/>
      <c r="N38" s="277"/>
    </row>
    <row r="39" ht="9" customHeight="1">
      <c r="A39" s="235"/>
    </row>
    <row r="40" spans="1:13" ht="15.75">
      <c r="A40" s="279" t="s">
        <v>719</v>
      </c>
      <c r="E40" s="279"/>
      <c r="F40" s="279"/>
      <c r="G40" s="279"/>
      <c r="H40" s="279"/>
      <c r="I40" s="279"/>
      <c r="J40" s="279"/>
      <c r="K40" s="280" t="s">
        <v>375</v>
      </c>
      <c r="L40" s="281"/>
      <c r="M40" s="277"/>
    </row>
    <row r="41" ht="15.75">
      <c r="A41" s="235"/>
    </row>
    <row r="42" spans="1:11" ht="15.75">
      <c r="A42" s="235"/>
      <c r="D42" s="282"/>
      <c r="K42" s="283"/>
    </row>
    <row r="43" spans="1:27" ht="15.75">
      <c r="A43" s="235"/>
      <c r="E43" s="283"/>
      <c r="F43" s="283"/>
      <c r="G43" s="283"/>
      <c r="H43" s="283"/>
      <c r="I43" s="283"/>
      <c r="J43" s="283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84"/>
      <c r="Z43" s="284"/>
      <c r="AA43" s="284"/>
    </row>
    <row r="44" ht="15.75">
      <c r="A44" s="235"/>
    </row>
    <row r="45" spans="1:12" ht="15.75">
      <c r="A45" s="235"/>
      <c r="E45" s="283"/>
      <c r="F45" s="283"/>
      <c r="G45" s="283"/>
      <c r="H45" s="283"/>
      <c r="I45" s="283"/>
      <c r="J45" s="283"/>
      <c r="K45" s="277"/>
      <c r="L45" s="277"/>
    </row>
    <row r="46" ht="15.75">
      <c r="A46" s="235"/>
    </row>
    <row r="47" ht="15.75">
      <c r="A47" s="235"/>
    </row>
    <row r="48" spans="1:4" ht="45.75" customHeight="1">
      <c r="A48" s="235"/>
      <c r="D48" s="285"/>
    </row>
    <row r="49" ht="15.75">
      <c r="A49" s="235"/>
    </row>
    <row r="50" ht="15.75">
      <c r="A50" s="235"/>
    </row>
    <row r="51" ht="15.75">
      <c r="A51" s="235"/>
    </row>
    <row r="52" ht="15.75">
      <c r="A52" s="235"/>
    </row>
    <row r="53" ht="15.75">
      <c r="A53" s="235"/>
    </row>
    <row r="54" ht="15.75">
      <c r="A54" s="235"/>
    </row>
    <row r="55" ht="15.75">
      <c r="A55" s="235"/>
    </row>
    <row r="56" ht="15.75">
      <c r="A56" s="235"/>
    </row>
    <row r="57" ht="15.75">
      <c r="A57" s="235"/>
    </row>
    <row r="58" ht="15.75">
      <c r="A58" s="235"/>
    </row>
    <row r="59" ht="15.75">
      <c r="A59" s="235"/>
    </row>
    <row r="60" ht="15.75">
      <c r="A60" s="235"/>
    </row>
    <row r="61" ht="15.75">
      <c r="A61" s="235"/>
    </row>
    <row r="62" ht="15.75">
      <c r="A62" s="235"/>
    </row>
    <row r="63" ht="15.75">
      <c r="A63" s="235"/>
    </row>
    <row r="64" ht="15.75">
      <c r="A64" s="235"/>
    </row>
    <row r="65" ht="15.75">
      <c r="A65" s="235"/>
    </row>
    <row r="66" ht="15.75">
      <c r="A66" s="235"/>
    </row>
    <row r="67" ht="15.75">
      <c r="A67" s="235"/>
    </row>
    <row r="68" ht="15.75">
      <c r="A68" s="235"/>
    </row>
    <row r="69" ht="15.75">
      <c r="A69" s="235"/>
    </row>
    <row r="70" ht="15.75">
      <c r="A70" s="235"/>
    </row>
    <row r="71" ht="15.75">
      <c r="A71" s="235"/>
    </row>
    <row r="72" ht="15.75">
      <c r="A72" s="235"/>
    </row>
    <row r="73" ht="15.75">
      <c r="A73" s="235"/>
    </row>
    <row r="74" ht="15.75">
      <c r="A74" s="235"/>
    </row>
    <row r="75" ht="15.75">
      <c r="A75" s="235"/>
    </row>
    <row r="76" ht="15.75">
      <c r="A76" s="235"/>
    </row>
    <row r="77" ht="15.75">
      <c r="A77" s="235"/>
    </row>
    <row r="78" ht="15.75">
      <c r="A78" s="235"/>
    </row>
    <row r="79" ht="15.75">
      <c r="A79" s="235"/>
    </row>
    <row r="80" ht="15.75">
      <c r="A80" s="235"/>
    </row>
    <row r="81" ht="15.75">
      <c r="A81" s="235"/>
    </row>
    <row r="82" ht="15.75">
      <c r="A82" s="235"/>
    </row>
    <row r="83" ht="15.75">
      <c r="A83" s="235"/>
    </row>
    <row r="84" ht="15.75">
      <c r="A84" s="235"/>
    </row>
    <row r="85" ht="15.75">
      <c r="A85" s="235"/>
    </row>
    <row r="86" ht="15.75">
      <c r="A86" s="235"/>
    </row>
    <row r="87" ht="15.75">
      <c r="A87" s="235"/>
    </row>
    <row r="88" ht="15.75">
      <c r="A88" s="235"/>
    </row>
    <row r="89" ht="15.75">
      <c r="A89" s="235"/>
    </row>
    <row r="90" ht="15.75">
      <c r="A90" s="235"/>
    </row>
    <row r="91" ht="15.75">
      <c r="A91" s="235"/>
    </row>
    <row r="92" ht="15.75">
      <c r="A92" s="235"/>
    </row>
    <row r="93" ht="15.75">
      <c r="A93" s="235"/>
    </row>
    <row r="94" ht="15.75">
      <c r="A94" s="235"/>
    </row>
    <row r="95" ht="15.75">
      <c r="A95" s="235"/>
    </row>
    <row r="96" ht="15.75">
      <c r="A96" s="235"/>
    </row>
    <row r="97" ht="15.75">
      <c r="A97" s="235"/>
    </row>
    <row r="98" ht="15.75">
      <c r="A98" s="235"/>
    </row>
    <row r="99" ht="15.75">
      <c r="A99" s="235"/>
    </row>
    <row r="100" ht="15.75">
      <c r="A100" s="235"/>
    </row>
    <row r="101" ht="15.75">
      <c r="A101" s="235"/>
    </row>
    <row r="102" ht="15.75">
      <c r="A102" s="235"/>
    </row>
    <row r="103" ht="15.75">
      <c r="A103" s="235"/>
    </row>
    <row r="104" ht="15.75">
      <c r="A104" s="235"/>
    </row>
    <row r="105" ht="15.75">
      <c r="A105" s="235"/>
    </row>
    <row r="106" ht="15.75">
      <c r="A106" s="235"/>
    </row>
    <row r="107" ht="15.75">
      <c r="A107" s="235"/>
    </row>
    <row r="108" ht="15.75">
      <c r="A108" s="235"/>
    </row>
    <row r="109" ht="15.75">
      <c r="A109" s="235"/>
    </row>
    <row r="110" ht="15.75">
      <c r="A110" s="235"/>
    </row>
    <row r="111" ht="15.75">
      <c r="A111" s="235"/>
    </row>
    <row r="112" ht="15.75">
      <c r="A112" s="235"/>
    </row>
    <row r="113" ht="15.75">
      <c r="A113" s="235"/>
    </row>
    <row r="114" ht="15.75">
      <c r="A114" s="235"/>
    </row>
    <row r="115" ht="15.75">
      <c r="A115" s="235"/>
    </row>
    <row r="116" ht="15.75">
      <c r="A116" s="235"/>
    </row>
    <row r="117" ht="15.75">
      <c r="A117" s="235"/>
    </row>
    <row r="118" ht="15.75">
      <c r="A118" s="235"/>
    </row>
    <row r="119" ht="15.75">
      <c r="A119" s="235"/>
    </row>
    <row r="120" ht="15.75">
      <c r="A120" s="235"/>
    </row>
    <row r="121" ht="15.75">
      <c r="A121" s="235"/>
    </row>
    <row r="122" ht="15.75">
      <c r="A122" s="235"/>
    </row>
    <row r="123" ht="15.75">
      <c r="A123" s="235"/>
    </row>
    <row r="124" ht="15.75">
      <c r="A124" s="235"/>
    </row>
    <row r="125" ht="15.75">
      <c r="A125" s="235"/>
    </row>
    <row r="126" ht="15.75">
      <c r="A126" s="235"/>
    </row>
    <row r="127" ht="15.75">
      <c r="A127" s="235"/>
    </row>
    <row r="128" ht="15.75">
      <c r="A128" s="235"/>
    </row>
    <row r="129" ht="15.75">
      <c r="A129" s="235"/>
    </row>
    <row r="130" ht="15.75">
      <c r="A130" s="235"/>
    </row>
    <row r="131" ht="15.75">
      <c r="A131" s="235"/>
    </row>
    <row r="132" ht="15.75">
      <c r="A132" s="235"/>
    </row>
    <row r="133" ht="15.75">
      <c r="A133" s="235"/>
    </row>
    <row r="134" ht="15.75">
      <c r="A134" s="235"/>
    </row>
    <row r="135" ht="15.75">
      <c r="A135" s="235"/>
    </row>
    <row r="136" ht="15.75">
      <c r="A136" s="235"/>
    </row>
    <row r="137" ht="15.75">
      <c r="A137" s="235"/>
    </row>
    <row r="138" ht="15.75">
      <c r="A138" s="235"/>
    </row>
    <row r="139" ht="15.75">
      <c r="A139" s="235"/>
    </row>
    <row r="140" ht="15.75">
      <c r="A140" s="235"/>
    </row>
    <row r="141" ht="15.75">
      <c r="A141" s="235"/>
    </row>
    <row r="142" ht="15.75">
      <c r="A142" s="235"/>
    </row>
    <row r="143" ht="15.75">
      <c r="A143" s="235"/>
    </row>
    <row r="144" ht="15.75">
      <c r="A144" s="235"/>
    </row>
    <row r="145" ht="15.75">
      <c r="A145" s="235"/>
    </row>
    <row r="146" ht="15.75">
      <c r="A146" s="235"/>
    </row>
    <row r="147" ht="15.75">
      <c r="A147" s="235"/>
    </row>
    <row r="148" ht="15.75">
      <c r="A148" s="235"/>
    </row>
    <row r="149" ht="15.75">
      <c r="A149" s="235"/>
    </row>
    <row r="150" ht="15.75">
      <c r="A150" s="235"/>
    </row>
    <row r="151" ht="15.75">
      <c r="A151" s="235"/>
    </row>
    <row r="152" ht="15.75">
      <c r="A152" s="235"/>
    </row>
    <row r="153" ht="15.75">
      <c r="A153" s="235"/>
    </row>
    <row r="154" ht="15.75">
      <c r="A154" s="235"/>
    </row>
    <row r="155" ht="15.75">
      <c r="A155" s="235"/>
    </row>
    <row r="156" ht="15.75">
      <c r="A156" s="235"/>
    </row>
    <row r="157" ht="15.75">
      <c r="A157" s="235"/>
    </row>
    <row r="158" ht="15.75">
      <c r="A158" s="235"/>
    </row>
    <row r="159" ht="15.75">
      <c r="A159" s="235"/>
    </row>
    <row r="160" ht="15.75">
      <c r="A160" s="235"/>
    </row>
    <row r="161" ht="15.75">
      <c r="A161" s="235"/>
    </row>
    <row r="162" ht="15.75">
      <c r="A162" s="235"/>
    </row>
  </sheetData>
  <mergeCells count="15">
    <mergeCell ref="A5:K5"/>
    <mergeCell ref="A7:A12"/>
    <mergeCell ref="B7:B12"/>
    <mergeCell ref="C7:C12"/>
    <mergeCell ref="D7:D12"/>
    <mergeCell ref="E7:G7"/>
    <mergeCell ref="K7:K12"/>
    <mergeCell ref="F8:J8"/>
    <mergeCell ref="F9:F12"/>
    <mergeCell ref="G9:J9"/>
    <mergeCell ref="J10:J12"/>
    <mergeCell ref="E10:E12"/>
    <mergeCell ref="G10:G12"/>
    <mergeCell ref="H10:H12"/>
    <mergeCell ref="I10:I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13" sqref="D12:D13"/>
    </sheetView>
  </sheetViews>
  <sheetFormatPr defaultColWidth="9.33203125" defaultRowHeight="12.75"/>
  <cols>
    <col min="1" max="1" width="17" style="0" customWidth="1"/>
    <col min="2" max="2" width="42.33203125" style="0" customWidth="1"/>
    <col min="3" max="3" width="16" style="0" customWidth="1"/>
    <col min="4" max="4" width="16.66015625" style="0" customWidth="1"/>
    <col min="5" max="5" width="13" style="0" customWidth="1"/>
    <col min="6" max="6" width="14.83203125" style="0" customWidth="1"/>
    <col min="7" max="7" width="14.16015625" style="0" customWidth="1"/>
    <col min="8" max="8" width="14.33203125" style="0" customWidth="1"/>
    <col min="9" max="9" width="13.5" style="0" customWidth="1"/>
    <col min="10" max="10" width="14" style="0" customWidth="1"/>
    <col min="11" max="11" width="15.16015625" style="0" customWidth="1"/>
    <col min="12" max="12" width="16.16015625" style="0" customWidth="1"/>
    <col min="13" max="13" width="13.33203125" style="0" customWidth="1"/>
    <col min="14" max="14" width="15.5" style="0" customWidth="1"/>
  </cols>
  <sheetData>
    <row r="1" spans="11:14" ht="15">
      <c r="K1" s="286" t="s">
        <v>720</v>
      </c>
      <c r="L1" s="287"/>
      <c r="M1" s="287"/>
      <c r="N1" s="287"/>
    </row>
    <row r="2" spans="11:14" ht="15">
      <c r="K2" s="286" t="s">
        <v>377</v>
      </c>
      <c r="L2" s="287"/>
      <c r="M2" s="287"/>
      <c r="N2" s="287"/>
    </row>
    <row r="3" spans="11:14" ht="15">
      <c r="K3" s="286" t="s">
        <v>599</v>
      </c>
      <c r="L3" s="287"/>
      <c r="M3" s="287"/>
      <c r="N3" s="287"/>
    </row>
    <row r="4" ht="14.25">
      <c r="K4" s="288"/>
    </row>
    <row r="6" spans="1:14" ht="18.75">
      <c r="A6" s="82" t="s">
        <v>721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ht="12.75">
      <c r="N7" s="289" t="s">
        <v>722</v>
      </c>
    </row>
    <row r="8" spans="1:14" ht="78.75" customHeight="1">
      <c r="A8" s="147" t="s">
        <v>723</v>
      </c>
      <c r="B8" s="290" t="s">
        <v>604</v>
      </c>
      <c r="C8" s="175" t="s">
        <v>724</v>
      </c>
      <c r="D8" s="175"/>
      <c r="E8" s="175"/>
      <c r="F8" s="175"/>
      <c r="G8" s="175" t="s">
        <v>725</v>
      </c>
      <c r="H8" s="175"/>
      <c r="I8" s="175"/>
      <c r="J8" s="175"/>
      <c r="K8" s="175" t="s">
        <v>726</v>
      </c>
      <c r="L8" s="175"/>
      <c r="M8" s="175"/>
      <c r="N8" s="175"/>
    </row>
    <row r="9" spans="1:14" ht="22.5" customHeight="1">
      <c r="A9" s="582" t="s">
        <v>418</v>
      </c>
      <c r="B9" s="175" t="s">
        <v>419</v>
      </c>
      <c r="C9" s="175" t="s">
        <v>365</v>
      </c>
      <c r="D9" s="176" t="s">
        <v>727</v>
      </c>
      <c r="E9" s="176"/>
      <c r="F9" s="175" t="s">
        <v>422</v>
      </c>
      <c r="G9" s="175" t="s">
        <v>365</v>
      </c>
      <c r="H9" s="176" t="s">
        <v>727</v>
      </c>
      <c r="I9" s="176"/>
      <c r="J9" s="175" t="s">
        <v>422</v>
      </c>
      <c r="K9" s="175" t="s">
        <v>365</v>
      </c>
      <c r="L9" s="176" t="s">
        <v>727</v>
      </c>
      <c r="M9" s="176"/>
      <c r="N9" s="175" t="s">
        <v>422</v>
      </c>
    </row>
    <row r="10" spans="1:14" ht="69.75" customHeight="1">
      <c r="A10" s="582"/>
      <c r="B10" s="175"/>
      <c r="C10" s="175"/>
      <c r="D10" s="290" t="s">
        <v>423</v>
      </c>
      <c r="E10" s="291" t="s">
        <v>728</v>
      </c>
      <c r="F10" s="175"/>
      <c r="G10" s="175"/>
      <c r="H10" s="290" t="s">
        <v>423</v>
      </c>
      <c r="I10" s="291" t="s">
        <v>728</v>
      </c>
      <c r="J10" s="175"/>
      <c r="K10" s="175"/>
      <c r="L10" s="290" t="s">
        <v>423</v>
      </c>
      <c r="M10" s="291" t="s">
        <v>728</v>
      </c>
      <c r="N10" s="175"/>
    </row>
    <row r="11" spans="1:14" ht="33.75" customHeight="1">
      <c r="A11" s="292">
        <v>11</v>
      </c>
      <c r="B11" s="293" t="s">
        <v>625</v>
      </c>
      <c r="C11" s="294">
        <f>C12</f>
        <v>0</v>
      </c>
      <c r="D11" s="294">
        <f aca="true" t="shared" si="0" ref="D11:N11">D12</f>
        <v>82022.8</v>
      </c>
      <c r="E11" s="294">
        <f t="shared" si="0"/>
        <v>0</v>
      </c>
      <c r="F11" s="294">
        <f t="shared" si="0"/>
        <v>82022.8</v>
      </c>
      <c r="G11" s="294">
        <f t="shared" si="0"/>
        <v>0</v>
      </c>
      <c r="H11" s="294">
        <f t="shared" si="0"/>
        <v>0</v>
      </c>
      <c r="I11" s="294">
        <f t="shared" si="0"/>
        <v>0</v>
      </c>
      <c r="J11" s="294">
        <f t="shared" si="0"/>
        <v>0</v>
      </c>
      <c r="K11" s="294">
        <f t="shared" si="0"/>
        <v>0</v>
      </c>
      <c r="L11" s="294">
        <f t="shared" si="0"/>
        <v>82022.8</v>
      </c>
      <c r="M11" s="294">
        <f t="shared" si="0"/>
        <v>0</v>
      </c>
      <c r="N11" s="294">
        <f t="shared" si="0"/>
        <v>82022.8</v>
      </c>
    </row>
    <row r="12" spans="1:14" ht="78.75">
      <c r="A12" s="295">
        <v>250908</v>
      </c>
      <c r="B12" s="296" t="s">
        <v>729</v>
      </c>
      <c r="C12" s="297">
        <v>0</v>
      </c>
      <c r="D12" s="297">
        <v>82022.8</v>
      </c>
      <c r="E12" s="297">
        <v>0</v>
      </c>
      <c r="F12" s="297">
        <f>C12+D12</f>
        <v>82022.8</v>
      </c>
      <c r="G12" s="297">
        <v>0</v>
      </c>
      <c r="H12" s="297">
        <v>0</v>
      </c>
      <c r="I12" s="297">
        <v>0</v>
      </c>
      <c r="J12" s="297">
        <v>0</v>
      </c>
      <c r="K12" s="297">
        <f>C12+G12</f>
        <v>0</v>
      </c>
      <c r="L12" s="297">
        <f>D12+H12</f>
        <v>82022.8</v>
      </c>
      <c r="M12" s="297">
        <f>E12+I12</f>
        <v>0</v>
      </c>
      <c r="N12" s="297">
        <f>F12+J12</f>
        <v>82022.8</v>
      </c>
    </row>
    <row r="13" spans="1:14" ht="46.5" customHeight="1">
      <c r="A13" s="292">
        <v>53</v>
      </c>
      <c r="B13" s="298" t="s">
        <v>730</v>
      </c>
      <c r="C13" s="299">
        <f>C14+C15</f>
        <v>250000</v>
      </c>
      <c r="D13" s="299">
        <f aca="true" t="shared" si="1" ref="D13:N13">D14+D15</f>
        <v>369282</v>
      </c>
      <c r="E13" s="299">
        <f t="shared" si="1"/>
        <v>0</v>
      </c>
      <c r="F13" s="299">
        <f t="shared" si="1"/>
        <v>619282</v>
      </c>
      <c r="G13" s="299">
        <f t="shared" si="1"/>
        <v>0</v>
      </c>
      <c r="H13" s="299">
        <f t="shared" si="1"/>
        <v>0</v>
      </c>
      <c r="I13" s="299">
        <f t="shared" si="1"/>
        <v>0</v>
      </c>
      <c r="J13" s="299">
        <f t="shared" si="1"/>
        <v>0</v>
      </c>
      <c r="K13" s="299">
        <f t="shared" si="1"/>
        <v>250000</v>
      </c>
      <c r="L13" s="299">
        <f t="shared" si="1"/>
        <v>369282</v>
      </c>
      <c r="M13" s="299">
        <f t="shared" si="1"/>
        <v>0</v>
      </c>
      <c r="N13" s="299">
        <f t="shared" si="1"/>
        <v>619282</v>
      </c>
    </row>
    <row r="14" spans="1:14" ht="46.5" customHeight="1">
      <c r="A14" s="295" t="s">
        <v>731</v>
      </c>
      <c r="B14" s="296" t="s">
        <v>732</v>
      </c>
      <c r="C14" s="300">
        <v>200000</v>
      </c>
      <c r="D14" s="300">
        <v>150000</v>
      </c>
      <c r="E14" s="300">
        <v>0</v>
      </c>
      <c r="F14" s="301">
        <f>C14+D14</f>
        <v>350000</v>
      </c>
      <c r="G14" s="300">
        <v>0</v>
      </c>
      <c r="H14" s="300">
        <v>0</v>
      </c>
      <c r="I14" s="300">
        <v>0</v>
      </c>
      <c r="J14" s="297">
        <f>G14+H14</f>
        <v>0</v>
      </c>
      <c r="K14" s="301">
        <f aca="true" t="shared" si="2" ref="K14:N15">C14+G14</f>
        <v>200000</v>
      </c>
      <c r="L14" s="301">
        <f t="shared" si="2"/>
        <v>150000</v>
      </c>
      <c r="M14" s="301">
        <f t="shared" si="2"/>
        <v>0</v>
      </c>
      <c r="N14" s="301">
        <f t="shared" si="2"/>
        <v>350000</v>
      </c>
    </row>
    <row r="15" spans="1:14" ht="47.25">
      <c r="A15" s="295">
        <v>250911</v>
      </c>
      <c r="B15" s="296" t="s">
        <v>733</v>
      </c>
      <c r="C15" s="301">
        <f>50000</f>
        <v>50000</v>
      </c>
      <c r="D15" s="301">
        <f>145000+74282</f>
        <v>219282</v>
      </c>
      <c r="E15" s="301">
        <v>0</v>
      </c>
      <c r="F15" s="301">
        <f>C15+D15</f>
        <v>269282</v>
      </c>
      <c r="G15" s="301">
        <v>0</v>
      </c>
      <c r="H15" s="301">
        <v>0</v>
      </c>
      <c r="I15" s="301">
        <v>0</v>
      </c>
      <c r="J15" s="297">
        <f>G15+H15</f>
        <v>0</v>
      </c>
      <c r="K15" s="301">
        <f t="shared" si="2"/>
        <v>50000</v>
      </c>
      <c r="L15" s="301">
        <f t="shared" si="2"/>
        <v>219282</v>
      </c>
      <c r="M15" s="301">
        <f t="shared" si="2"/>
        <v>0</v>
      </c>
      <c r="N15" s="301">
        <f t="shared" si="2"/>
        <v>269282</v>
      </c>
    </row>
    <row r="16" spans="1:14" ht="16.5">
      <c r="A16" s="302"/>
      <c r="B16" s="303" t="s">
        <v>423</v>
      </c>
      <c r="C16" s="301">
        <f aca="true" t="shared" si="3" ref="C16:N16">C13+C11</f>
        <v>250000</v>
      </c>
      <c r="D16" s="301">
        <f t="shared" si="3"/>
        <v>451304.8</v>
      </c>
      <c r="E16" s="301">
        <f t="shared" si="3"/>
        <v>0</v>
      </c>
      <c r="F16" s="301">
        <f t="shared" si="3"/>
        <v>701304.8</v>
      </c>
      <c r="G16" s="301">
        <f t="shared" si="3"/>
        <v>0</v>
      </c>
      <c r="H16" s="301">
        <f t="shared" si="3"/>
        <v>0</v>
      </c>
      <c r="I16" s="301">
        <f t="shared" si="3"/>
        <v>0</v>
      </c>
      <c r="J16" s="301">
        <f t="shared" si="3"/>
        <v>0</v>
      </c>
      <c r="K16" s="301">
        <f t="shared" si="3"/>
        <v>250000</v>
      </c>
      <c r="L16" s="301">
        <f t="shared" si="3"/>
        <v>451304.8</v>
      </c>
      <c r="M16" s="301">
        <f t="shared" si="3"/>
        <v>0</v>
      </c>
      <c r="N16" s="301">
        <f t="shared" si="3"/>
        <v>701304.8</v>
      </c>
    </row>
    <row r="17" ht="27" customHeight="1"/>
    <row r="18" ht="31.5" customHeight="1"/>
    <row r="19" spans="1:13" ht="28.5" customHeight="1">
      <c r="A19" s="304" t="s">
        <v>734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 t="s">
        <v>375</v>
      </c>
      <c r="M19" s="304"/>
    </row>
  </sheetData>
  <mergeCells count="15">
    <mergeCell ref="A6:N6"/>
    <mergeCell ref="C8:F8"/>
    <mergeCell ref="G8:J8"/>
    <mergeCell ref="K8:N8"/>
    <mergeCell ref="A9:A10"/>
    <mergeCell ref="B9:B10"/>
    <mergeCell ref="C9:C10"/>
    <mergeCell ref="D9:E9"/>
    <mergeCell ref="K9:K10"/>
    <mergeCell ref="L9:M9"/>
    <mergeCell ref="N9:N10"/>
    <mergeCell ref="F9:F10"/>
    <mergeCell ref="G9:G10"/>
    <mergeCell ref="H9:I9"/>
    <mergeCell ref="J9:J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13" sqref="E13"/>
    </sheetView>
  </sheetViews>
  <sheetFormatPr defaultColWidth="9.33203125" defaultRowHeight="12.75"/>
  <cols>
    <col min="1" max="1" width="11.5" style="305" customWidth="1"/>
    <col min="2" max="2" width="34" style="306" customWidth="1"/>
    <col min="3" max="3" width="18.33203125" style="309" customWidth="1"/>
    <col min="4" max="4" width="19.5" style="309" customWidth="1"/>
    <col min="5" max="5" width="19" style="308" customWidth="1"/>
    <col min="6" max="6" width="19" style="309" customWidth="1"/>
    <col min="7" max="16384" width="9.33203125" style="308" customWidth="1"/>
  </cols>
  <sheetData>
    <row r="1" spans="3:6" ht="16.5" customHeight="1">
      <c r="C1" s="307"/>
      <c r="D1" s="623" t="s">
        <v>735</v>
      </c>
      <c r="E1" s="623"/>
      <c r="F1" s="623"/>
    </row>
    <row r="2" spans="3:6" ht="17.25" customHeight="1">
      <c r="C2" s="307"/>
      <c r="D2" s="624" t="s">
        <v>736</v>
      </c>
      <c r="E2" s="624"/>
      <c r="F2" s="624"/>
    </row>
    <row r="3" spans="3:6" ht="18" customHeight="1">
      <c r="C3" s="307"/>
      <c r="D3" s="624" t="s">
        <v>737</v>
      </c>
      <c r="E3" s="624"/>
      <c r="F3" s="624"/>
    </row>
    <row r="4" spans="3:6" ht="17.25" customHeight="1">
      <c r="C4" s="307"/>
      <c r="D4" s="307"/>
      <c r="E4" s="307"/>
      <c r="F4" s="307"/>
    </row>
    <row r="5" spans="1:6" ht="30.75" customHeight="1">
      <c r="A5" s="625" t="s">
        <v>738</v>
      </c>
      <c r="B5" s="625"/>
      <c r="C5" s="625"/>
      <c r="D5" s="625"/>
      <c r="E5" s="625"/>
      <c r="F5" s="625"/>
    </row>
    <row r="6" ht="15" thickBot="1">
      <c r="F6" s="310" t="s">
        <v>417</v>
      </c>
    </row>
    <row r="7" spans="1:6" ht="39" customHeight="1">
      <c r="A7" s="616" t="s">
        <v>739</v>
      </c>
      <c r="B7" s="618" t="s">
        <v>740</v>
      </c>
      <c r="C7" s="620" t="s">
        <v>365</v>
      </c>
      <c r="D7" s="622" t="s">
        <v>366</v>
      </c>
      <c r="E7" s="622"/>
      <c r="F7" s="83" t="s">
        <v>422</v>
      </c>
    </row>
    <row r="8" spans="1:6" ht="62.25" customHeight="1">
      <c r="A8" s="617"/>
      <c r="B8" s="619"/>
      <c r="C8" s="621"/>
      <c r="D8" s="314" t="s">
        <v>367</v>
      </c>
      <c r="E8" s="313" t="s">
        <v>728</v>
      </c>
      <c r="F8" s="84"/>
    </row>
    <row r="9" spans="1:6" s="320" customFormat="1" ht="16.5" customHeight="1">
      <c r="A9" s="315">
        <v>1</v>
      </c>
      <c r="B9" s="316">
        <v>2</v>
      </c>
      <c r="C9" s="317">
        <v>3</v>
      </c>
      <c r="D9" s="317">
        <v>4</v>
      </c>
      <c r="E9" s="318">
        <v>5</v>
      </c>
      <c r="F9" s="319">
        <v>6</v>
      </c>
    </row>
    <row r="10" spans="1:7" s="326" customFormat="1" ht="39.75" customHeight="1">
      <c r="A10" s="321" t="s">
        <v>566</v>
      </c>
      <c r="B10" s="322" t="s">
        <v>741</v>
      </c>
      <c r="C10" s="323">
        <f>C11</f>
        <v>1479200.9700000007</v>
      </c>
      <c r="D10" s="323">
        <f>D11</f>
        <v>56190171.71</v>
      </c>
      <c r="E10" s="323">
        <f>E11</f>
        <v>17648078.05</v>
      </c>
      <c r="F10" s="324">
        <f aca="true" t="shared" si="0" ref="F10:F19">SUM(D10,C10)</f>
        <v>57669372.68</v>
      </c>
      <c r="G10" s="325"/>
    </row>
    <row r="11" spans="1:7" s="326" customFormat="1" ht="54.75" customHeight="1">
      <c r="A11" s="321">
        <v>208000</v>
      </c>
      <c r="B11" s="322" t="s">
        <v>742</v>
      </c>
      <c r="C11" s="323">
        <f>C12+C13</f>
        <v>1479200.9700000007</v>
      </c>
      <c r="D11" s="323">
        <f>D12+D13</f>
        <v>56190171.71</v>
      </c>
      <c r="E11" s="323">
        <f>E12+E13</f>
        <v>17648078.05</v>
      </c>
      <c r="F11" s="324">
        <f>SUM(D11,C11)</f>
        <v>57669372.68</v>
      </c>
      <c r="G11" s="325"/>
    </row>
    <row r="12" spans="1:7" s="326" customFormat="1" ht="16.5">
      <c r="A12" s="327">
        <v>208100</v>
      </c>
      <c r="B12" s="328" t="s">
        <v>743</v>
      </c>
      <c r="C12" s="329">
        <f>4128600.97+266600+73050+10950</f>
        <v>4479200.970000001</v>
      </c>
      <c r="D12" s="330">
        <f>52910521.39+140000+139650.32</f>
        <v>53190171.71</v>
      </c>
      <c r="E12" s="330">
        <f>13971872.85+140000+139650.32+396554.88</f>
        <v>14648078.05</v>
      </c>
      <c r="F12" s="331">
        <f t="shared" si="0"/>
        <v>57669372.68</v>
      </c>
      <c r="G12" s="325"/>
    </row>
    <row r="13" spans="1:7" s="326" customFormat="1" ht="99">
      <c r="A13" s="327" t="s">
        <v>744</v>
      </c>
      <c r="B13" s="328" t="s">
        <v>745</v>
      </c>
      <c r="C13" s="329">
        <v>-3000000</v>
      </c>
      <c r="D13" s="330">
        <v>3000000</v>
      </c>
      <c r="E13" s="330">
        <v>3000000</v>
      </c>
      <c r="F13" s="331">
        <f t="shared" si="0"/>
        <v>0</v>
      </c>
      <c r="G13" s="325"/>
    </row>
    <row r="14" spans="1:7" ht="34.5" customHeight="1">
      <c r="A14" s="327"/>
      <c r="B14" s="328" t="s">
        <v>746</v>
      </c>
      <c r="C14" s="329">
        <f>C10</f>
        <v>1479200.9700000007</v>
      </c>
      <c r="D14" s="330">
        <f>D10</f>
        <v>56190171.71</v>
      </c>
      <c r="E14" s="330">
        <f>E10</f>
        <v>17648078.05</v>
      </c>
      <c r="F14" s="331">
        <f t="shared" si="0"/>
        <v>57669372.68</v>
      </c>
      <c r="G14" s="332"/>
    </row>
    <row r="15" spans="1:9" ht="38.25" customHeight="1">
      <c r="A15" s="321" t="s">
        <v>747</v>
      </c>
      <c r="B15" s="322" t="s">
        <v>748</v>
      </c>
      <c r="C15" s="323">
        <f>C16</f>
        <v>1479200.9700000007</v>
      </c>
      <c r="D15" s="323">
        <f>D16</f>
        <v>56190171.71</v>
      </c>
      <c r="E15" s="323">
        <f>E16</f>
        <v>17648078.05</v>
      </c>
      <c r="F15" s="324">
        <f t="shared" si="0"/>
        <v>57669372.68</v>
      </c>
      <c r="G15" s="332"/>
      <c r="I15" s="333"/>
    </row>
    <row r="16" spans="1:9" ht="32.25" customHeight="1">
      <c r="A16" s="321" t="s">
        <v>749</v>
      </c>
      <c r="B16" s="322" t="s">
        <v>750</v>
      </c>
      <c r="C16" s="323">
        <f>C17+C18</f>
        <v>1479200.9700000007</v>
      </c>
      <c r="D16" s="323">
        <f>D17+D18</f>
        <v>56190171.71</v>
      </c>
      <c r="E16" s="323">
        <f>E17+E18</f>
        <v>17648078.05</v>
      </c>
      <c r="F16" s="324">
        <f t="shared" si="0"/>
        <v>57669372.68</v>
      </c>
      <c r="G16" s="332"/>
      <c r="I16" s="333"/>
    </row>
    <row r="17" spans="1:9" ht="18.75" customHeight="1">
      <c r="A17" s="327" t="s">
        <v>751</v>
      </c>
      <c r="B17" s="334" t="s">
        <v>752</v>
      </c>
      <c r="C17" s="330">
        <f aca="true" t="shared" si="1" ref="C17:E18">C12</f>
        <v>4479200.970000001</v>
      </c>
      <c r="D17" s="330">
        <f t="shared" si="1"/>
        <v>53190171.71</v>
      </c>
      <c r="E17" s="330">
        <f t="shared" si="1"/>
        <v>14648078.05</v>
      </c>
      <c r="F17" s="331">
        <f t="shared" si="0"/>
        <v>57669372.68</v>
      </c>
      <c r="G17" s="332"/>
      <c r="I17" s="333"/>
    </row>
    <row r="18" spans="1:9" ht="99">
      <c r="A18" s="327" t="s">
        <v>753</v>
      </c>
      <c r="B18" s="328" t="s">
        <v>745</v>
      </c>
      <c r="C18" s="335">
        <f t="shared" si="1"/>
        <v>-3000000</v>
      </c>
      <c r="D18" s="335">
        <f t="shared" si="1"/>
        <v>3000000</v>
      </c>
      <c r="E18" s="335">
        <f t="shared" si="1"/>
        <v>3000000</v>
      </c>
      <c r="F18" s="331">
        <f t="shared" si="0"/>
        <v>0</v>
      </c>
      <c r="G18" s="332"/>
      <c r="I18" s="333"/>
    </row>
    <row r="19" spans="1:7" ht="50.25" thickBot="1">
      <c r="A19" s="336"/>
      <c r="B19" s="337" t="s">
        <v>754</v>
      </c>
      <c r="C19" s="338">
        <f>C15</f>
        <v>1479200.9700000007</v>
      </c>
      <c r="D19" s="338">
        <f>D15</f>
        <v>56190171.71</v>
      </c>
      <c r="E19" s="338">
        <f>E15</f>
        <v>17648078.05</v>
      </c>
      <c r="F19" s="340">
        <f t="shared" si="0"/>
        <v>57669372.68</v>
      </c>
      <c r="G19" s="332"/>
    </row>
    <row r="20" ht="44.25" customHeight="1">
      <c r="A20" s="306"/>
    </row>
    <row r="21" spans="1:6" ht="39" customHeight="1">
      <c r="A21" s="306"/>
      <c r="C21" s="341"/>
      <c r="D21" s="341"/>
      <c r="E21" s="342"/>
      <c r="F21" s="341"/>
    </row>
    <row r="22" spans="1:8" ht="31.5" customHeight="1">
      <c r="A22" s="600" t="s">
        <v>373</v>
      </c>
      <c r="B22" s="600"/>
      <c r="C22" s="600"/>
      <c r="D22" s="600"/>
      <c r="E22" s="615" t="s">
        <v>375</v>
      </c>
      <c r="F22" s="615"/>
      <c r="G22" s="343"/>
      <c r="H22" s="343"/>
    </row>
    <row r="23" spans="1:6" ht="15.75">
      <c r="A23" s="306"/>
      <c r="C23" s="341"/>
      <c r="D23" s="341"/>
      <c r="E23" s="342"/>
      <c r="F23" s="341"/>
    </row>
    <row r="24" spans="1:3" ht="15">
      <c r="A24" s="306"/>
      <c r="B24" s="344"/>
      <c r="C24" s="345"/>
    </row>
    <row r="25" spans="1:3" ht="15">
      <c r="A25" s="306"/>
      <c r="B25" s="344"/>
      <c r="C25" s="345"/>
    </row>
    <row r="26" spans="1:3" ht="15">
      <c r="A26" s="306"/>
      <c r="B26" s="344"/>
      <c r="C26" s="345"/>
    </row>
    <row r="27" spans="1:3" ht="15">
      <c r="A27" s="306"/>
      <c r="B27" s="344"/>
      <c r="C27" s="345"/>
    </row>
    <row r="28" spans="1:3" ht="15">
      <c r="A28" s="306"/>
      <c r="B28" s="344"/>
      <c r="C28" s="345"/>
    </row>
    <row r="29" ht="12.75">
      <c r="A29" s="306"/>
    </row>
    <row r="30" spans="1:4" ht="12.75">
      <c r="A30" s="306"/>
      <c r="C30" s="345"/>
      <c r="D30" s="345"/>
    </row>
    <row r="31" spans="1:3" ht="12.75">
      <c r="A31" s="306"/>
      <c r="C31" s="346"/>
    </row>
    <row r="32" ht="12.75">
      <c r="A32" s="306"/>
    </row>
    <row r="33" spans="1:4" ht="12.75">
      <c r="A33" s="306"/>
      <c r="D33" s="345"/>
    </row>
    <row r="37" ht="12.75">
      <c r="C37" s="345"/>
    </row>
  </sheetData>
  <mergeCells count="11">
    <mergeCell ref="D1:F1"/>
    <mergeCell ref="D2:F2"/>
    <mergeCell ref="D3:F3"/>
    <mergeCell ref="A5:F5"/>
    <mergeCell ref="F7:F8"/>
    <mergeCell ref="A22:D22"/>
    <mergeCell ref="E22:F22"/>
    <mergeCell ref="A7:A8"/>
    <mergeCell ref="B7:B8"/>
    <mergeCell ref="C7:C8"/>
    <mergeCell ref="D7:E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C9" sqref="C9"/>
    </sheetView>
  </sheetViews>
  <sheetFormatPr defaultColWidth="9.33203125" defaultRowHeight="12.75"/>
  <cols>
    <col min="1" max="1" width="17" style="348" customWidth="1"/>
    <col min="2" max="2" width="57.83203125" style="348" customWidth="1"/>
    <col min="3" max="3" width="55.16015625" style="348" customWidth="1"/>
    <col min="4" max="4" width="15.5" style="348" customWidth="1"/>
    <col min="5" max="6" width="14.5" style="348" customWidth="1"/>
    <col min="7" max="7" width="20.5" style="348" customWidth="1"/>
    <col min="8" max="8" width="26.16015625" style="348" customWidth="1"/>
    <col min="9" max="9" width="16.83203125" style="348" bestFit="1" customWidth="1"/>
    <col min="10" max="10" width="13.5" style="348" bestFit="1" customWidth="1"/>
    <col min="11" max="16384" width="9.33203125" style="348" customWidth="1"/>
  </cols>
  <sheetData>
    <row r="1" spans="1:5" ht="15.75">
      <c r="A1" s="347"/>
      <c r="B1" s="347"/>
      <c r="C1" s="347"/>
      <c r="E1" s="348" t="s">
        <v>755</v>
      </c>
    </row>
    <row r="2" spans="1:5" ht="15.75">
      <c r="A2" s="347"/>
      <c r="B2" s="347"/>
      <c r="C2" s="347"/>
      <c r="E2" s="348" t="s">
        <v>756</v>
      </c>
    </row>
    <row r="3" spans="1:5" ht="14.25" customHeight="1">
      <c r="A3" s="349"/>
      <c r="B3" s="349"/>
      <c r="E3" s="348" t="s">
        <v>599</v>
      </c>
    </row>
    <row r="4" spans="1:7" ht="72.75" customHeight="1">
      <c r="A4" s="627" t="s">
        <v>757</v>
      </c>
      <c r="B4" s="627"/>
      <c r="C4" s="627"/>
      <c r="D4" s="627"/>
      <c r="E4" s="627"/>
      <c r="F4" s="627"/>
      <c r="G4" s="627"/>
    </row>
    <row r="5" ht="15.75">
      <c r="G5" s="348" t="s">
        <v>417</v>
      </c>
    </row>
    <row r="6" spans="1:7" ht="84.75" customHeight="1">
      <c r="A6" s="147" t="s">
        <v>723</v>
      </c>
      <c r="B6" s="148" t="s">
        <v>604</v>
      </c>
      <c r="C6" s="552" t="s">
        <v>758</v>
      </c>
      <c r="D6" s="582" t="s">
        <v>759</v>
      </c>
      <c r="E6" s="582" t="s">
        <v>760</v>
      </c>
      <c r="F6" s="582" t="s">
        <v>761</v>
      </c>
      <c r="G6" s="552" t="s">
        <v>762</v>
      </c>
    </row>
    <row r="7" spans="1:7" ht="84" customHeight="1">
      <c r="A7" s="147" t="s">
        <v>418</v>
      </c>
      <c r="B7" s="148" t="s">
        <v>419</v>
      </c>
      <c r="C7" s="552"/>
      <c r="D7" s="582"/>
      <c r="E7" s="582"/>
      <c r="F7" s="582"/>
      <c r="G7" s="552"/>
    </row>
    <row r="8" spans="1:10" ht="31.5">
      <c r="A8" s="350">
        <v>47</v>
      </c>
      <c r="B8" s="350" t="s">
        <v>648</v>
      </c>
      <c r="C8" s="351" t="s">
        <v>423</v>
      </c>
      <c r="D8" s="352"/>
      <c r="E8" s="352"/>
      <c r="F8" s="352"/>
      <c r="G8" s="353">
        <f>G9+G11+G13+G14+G15</f>
        <v>14126080.280000001</v>
      </c>
      <c r="H8" s="354"/>
      <c r="I8" s="354"/>
      <c r="J8" s="354"/>
    </row>
    <row r="9" spans="1:7" ht="78.75">
      <c r="A9" s="355">
        <v>150101</v>
      </c>
      <c r="B9" s="355" t="s">
        <v>550</v>
      </c>
      <c r="C9" s="96" t="s">
        <v>763</v>
      </c>
      <c r="D9" s="356"/>
      <c r="E9" s="356"/>
      <c r="F9" s="356"/>
      <c r="G9" s="357">
        <f>G10</f>
        <v>3000000</v>
      </c>
    </row>
    <row r="10" spans="1:7" ht="47.25" customHeight="1">
      <c r="A10" s="355"/>
      <c r="B10" s="355"/>
      <c r="C10" s="358" t="s">
        <v>764</v>
      </c>
      <c r="D10" s="356"/>
      <c r="E10" s="356"/>
      <c r="F10" s="356"/>
      <c r="G10" s="359">
        <v>3000000</v>
      </c>
    </row>
    <row r="11" spans="1:7" ht="31.5" customHeight="1">
      <c r="A11" s="355">
        <v>150101</v>
      </c>
      <c r="B11" s="101" t="s">
        <v>550</v>
      </c>
      <c r="C11" s="96" t="s">
        <v>765</v>
      </c>
      <c r="D11" s="356"/>
      <c r="E11" s="356"/>
      <c r="F11" s="356"/>
      <c r="G11" s="357">
        <f>G12</f>
        <v>200000</v>
      </c>
    </row>
    <row r="12" spans="1:9" ht="47.25" customHeight="1">
      <c r="A12" s="355"/>
      <c r="B12" s="358" t="s">
        <v>766</v>
      </c>
      <c r="C12" s="360" t="s">
        <v>767</v>
      </c>
      <c r="D12" s="361"/>
      <c r="E12" s="361"/>
      <c r="F12" s="361"/>
      <c r="G12" s="359">
        <v>200000</v>
      </c>
      <c r="H12" s="362"/>
      <c r="I12" s="363"/>
    </row>
    <row r="13" spans="1:9" ht="63">
      <c r="A13" s="355">
        <v>150101</v>
      </c>
      <c r="B13" s="355" t="s">
        <v>550</v>
      </c>
      <c r="C13" s="96" t="s">
        <v>768</v>
      </c>
      <c r="D13" s="356"/>
      <c r="E13" s="356"/>
      <c r="F13" s="356"/>
      <c r="G13" s="357">
        <v>15170617</v>
      </c>
      <c r="H13" s="354"/>
      <c r="I13" s="354"/>
    </row>
    <row r="14" spans="1:8" ht="33" customHeight="1">
      <c r="A14" s="355"/>
      <c r="B14" s="355"/>
      <c r="C14" s="364" t="s">
        <v>769</v>
      </c>
      <c r="D14" s="356"/>
      <c r="E14" s="356"/>
      <c r="F14" s="356"/>
      <c r="G14" s="357">
        <f>-4939644.32-2174372.2</f>
        <v>-7114016.5200000005</v>
      </c>
      <c r="H14" s="354"/>
    </row>
    <row r="15" spans="1:9" ht="31.5">
      <c r="A15" s="365"/>
      <c r="B15" s="365"/>
      <c r="C15" s="366" t="s">
        <v>770</v>
      </c>
      <c r="D15" s="367"/>
      <c r="E15" s="367"/>
      <c r="F15" s="367"/>
      <c r="G15" s="368">
        <f>G16+G17+G18+G19+G20+G21+G22+G23+G24+G25+G26+G27+G28+G29+G30+G31+G32+G33+G34+G35+G36+G37+G38+G39+G40+G41+G42+G43+G44+G45+G46</f>
        <v>2869479.8</v>
      </c>
      <c r="H15" s="354"/>
      <c r="I15" s="354"/>
    </row>
    <row r="16" spans="1:8" ht="63">
      <c r="A16" s="355">
        <v>150101</v>
      </c>
      <c r="B16" s="355" t="s">
        <v>550</v>
      </c>
      <c r="C16" s="355" t="s">
        <v>771</v>
      </c>
      <c r="D16" s="367"/>
      <c r="E16" s="367"/>
      <c r="F16" s="367"/>
      <c r="G16" s="357">
        <f>19917+264340-100000+639</f>
        <v>184896</v>
      </c>
      <c r="H16" s="354"/>
    </row>
    <row r="17" spans="1:8" ht="80.25" customHeight="1">
      <c r="A17" s="355">
        <v>150101</v>
      </c>
      <c r="B17" s="355" t="s">
        <v>550</v>
      </c>
      <c r="C17" s="355" t="s">
        <v>772</v>
      </c>
      <c r="D17" s="367"/>
      <c r="E17" s="367"/>
      <c r="F17" s="367"/>
      <c r="G17" s="357">
        <v>26982</v>
      </c>
      <c r="H17" s="354"/>
    </row>
    <row r="18" spans="1:8" ht="63">
      <c r="A18" s="355">
        <v>150101</v>
      </c>
      <c r="B18" s="355" t="s">
        <v>550</v>
      </c>
      <c r="C18" s="355" t="s">
        <v>773</v>
      </c>
      <c r="D18" s="367"/>
      <c r="E18" s="367"/>
      <c r="F18" s="367"/>
      <c r="G18" s="357">
        <v>29155</v>
      </c>
      <c r="H18" s="354"/>
    </row>
    <row r="19" spans="1:7" ht="117.75" customHeight="1">
      <c r="A19" s="355">
        <v>150101</v>
      </c>
      <c r="B19" s="355" t="s">
        <v>550</v>
      </c>
      <c r="C19" s="355" t="s">
        <v>774</v>
      </c>
      <c r="D19" s="367"/>
      <c r="E19" s="367"/>
      <c r="F19" s="367"/>
      <c r="G19" s="357">
        <f>8000+2556+9225.6+656283</f>
        <v>676064.6</v>
      </c>
    </row>
    <row r="20" spans="1:7" ht="78.75">
      <c r="A20" s="355">
        <v>150101</v>
      </c>
      <c r="B20" s="355" t="s">
        <v>550</v>
      </c>
      <c r="C20" s="355" t="s">
        <v>775</v>
      </c>
      <c r="D20" s="367"/>
      <c r="E20" s="367"/>
      <c r="F20" s="367"/>
      <c r="G20" s="357">
        <v>45000</v>
      </c>
    </row>
    <row r="21" spans="1:7" ht="63">
      <c r="A21" s="355">
        <v>150101</v>
      </c>
      <c r="B21" s="355" t="s">
        <v>550</v>
      </c>
      <c r="C21" s="355" t="s">
        <v>776</v>
      </c>
      <c r="D21" s="367"/>
      <c r="E21" s="367"/>
      <c r="F21" s="367"/>
      <c r="G21" s="357">
        <v>4105.6</v>
      </c>
    </row>
    <row r="22" spans="1:7" ht="78.75">
      <c r="A22" s="355">
        <v>150101</v>
      </c>
      <c r="B22" s="355" t="s">
        <v>550</v>
      </c>
      <c r="C22" s="355" t="s">
        <v>777</v>
      </c>
      <c r="D22" s="367"/>
      <c r="E22" s="367"/>
      <c r="F22" s="367"/>
      <c r="G22" s="357">
        <f>8000+30000+5836.22+1504</f>
        <v>45340.22</v>
      </c>
    </row>
    <row r="23" spans="1:7" ht="47.25">
      <c r="A23" s="355">
        <v>150101</v>
      </c>
      <c r="B23" s="355" t="s">
        <v>550</v>
      </c>
      <c r="C23" s="355" t="s">
        <v>778</v>
      </c>
      <c r="D23" s="367"/>
      <c r="E23" s="367"/>
      <c r="F23" s="367"/>
      <c r="G23" s="357">
        <f>86500.8</f>
        <v>86500.8</v>
      </c>
    </row>
    <row r="24" spans="1:7" ht="63">
      <c r="A24" s="355">
        <v>150101</v>
      </c>
      <c r="B24" s="355" t="s">
        <v>550</v>
      </c>
      <c r="C24" s="355" t="s">
        <v>0</v>
      </c>
      <c r="D24" s="367"/>
      <c r="E24" s="367"/>
      <c r="F24" s="367"/>
      <c r="G24" s="357">
        <f>13332+52675.2</f>
        <v>66007.2</v>
      </c>
    </row>
    <row r="25" spans="1:7" ht="63">
      <c r="A25" s="355">
        <v>150101</v>
      </c>
      <c r="B25" s="355" t="s">
        <v>550</v>
      </c>
      <c r="C25" s="355" t="s">
        <v>1</v>
      </c>
      <c r="D25" s="367"/>
      <c r="E25" s="367"/>
      <c r="F25" s="367"/>
      <c r="G25" s="357">
        <v>20000</v>
      </c>
    </row>
    <row r="26" spans="1:7" ht="94.5">
      <c r="A26" s="355">
        <v>150101</v>
      </c>
      <c r="B26" s="355" t="s">
        <v>550</v>
      </c>
      <c r="C26" s="355" t="s">
        <v>2</v>
      </c>
      <c r="D26" s="367"/>
      <c r="E26" s="367"/>
      <c r="F26" s="367"/>
      <c r="G26" s="357">
        <v>35000</v>
      </c>
    </row>
    <row r="27" spans="1:7" ht="78.75">
      <c r="A27" s="355">
        <v>150101</v>
      </c>
      <c r="B27" s="355" t="s">
        <v>550</v>
      </c>
      <c r="C27" s="355" t="s">
        <v>3</v>
      </c>
      <c r="D27" s="367"/>
      <c r="E27" s="367"/>
      <c r="F27" s="367"/>
      <c r="G27" s="357">
        <v>27996</v>
      </c>
    </row>
    <row r="28" spans="1:7" ht="78.75">
      <c r="A28" s="355">
        <v>150101</v>
      </c>
      <c r="B28" s="355" t="s">
        <v>550</v>
      </c>
      <c r="C28" s="355" t="s">
        <v>4</v>
      </c>
      <c r="D28" s="367"/>
      <c r="E28" s="367"/>
      <c r="F28" s="367"/>
      <c r="G28" s="357">
        <v>25000</v>
      </c>
    </row>
    <row r="29" spans="1:7" ht="47.25">
      <c r="A29" s="355">
        <v>150101</v>
      </c>
      <c r="B29" s="355" t="s">
        <v>550</v>
      </c>
      <c r="C29" s="355" t="s">
        <v>5</v>
      </c>
      <c r="D29" s="367"/>
      <c r="E29" s="367"/>
      <c r="F29" s="367"/>
      <c r="G29" s="357">
        <f>2000</f>
        <v>2000</v>
      </c>
    </row>
    <row r="30" spans="1:7" ht="110.25">
      <c r="A30" s="355">
        <v>150101</v>
      </c>
      <c r="B30" s="355" t="s">
        <v>550</v>
      </c>
      <c r="C30" s="355" t="s">
        <v>6</v>
      </c>
      <c r="D30" s="367"/>
      <c r="E30" s="367"/>
      <c r="F30" s="367"/>
      <c r="G30" s="357">
        <f>131749.2+57726.43</f>
        <v>189475.63</v>
      </c>
    </row>
    <row r="31" spans="1:7" ht="47.25">
      <c r="A31" s="355">
        <v>150101</v>
      </c>
      <c r="B31" s="355" t="s">
        <v>550</v>
      </c>
      <c r="C31" s="355" t="s">
        <v>7</v>
      </c>
      <c r="D31" s="367"/>
      <c r="E31" s="367"/>
      <c r="F31" s="367"/>
      <c r="G31" s="357">
        <f>60932.4+975+12781.91</f>
        <v>74689.31</v>
      </c>
    </row>
    <row r="32" spans="1:7" ht="47.25">
      <c r="A32" s="355">
        <v>150101</v>
      </c>
      <c r="B32" s="355" t="s">
        <v>550</v>
      </c>
      <c r="C32" s="355" t="s">
        <v>8</v>
      </c>
      <c r="D32" s="367"/>
      <c r="E32" s="367"/>
      <c r="F32" s="367"/>
      <c r="G32" s="357">
        <f>5270+8738.4+171452.52+1704</f>
        <v>187164.91999999998</v>
      </c>
    </row>
    <row r="33" spans="1:7" ht="47.25">
      <c r="A33" s="355">
        <v>150101</v>
      </c>
      <c r="B33" s="355" t="s">
        <v>550</v>
      </c>
      <c r="C33" s="355" t="s">
        <v>9</v>
      </c>
      <c r="D33" s="367"/>
      <c r="E33" s="367"/>
      <c r="F33" s="367"/>
      <c r="G33" s="357">
        <v>1000</v>
      </c>
    </row>
    <row r="34" spans="1:7" ht="63">
      <c r="A34" s="355">
        <v>150101</v>
      </c>
      <c r="B34" s="355" t="s">
        <v>550</v>
      </c>
      <c r="C34" s="355" t="s">
        <v>10</v>
      </c>
      <c r="D34" s="367"/>
      <c r="E34" s="367"/>
      <c r="F34" s="367"/>
      <c r="G34" s="357">
        <v>150000</v>
      </c>
    </row>
    <row r="35" spans="1:7" ht="63">
      <c r="A35" s="355">
        <v>150101</v>
      </c>
      <c r="B35" s="355" t="s">
        <v>550</v>
      </c>
      <c r="C35" s="355" t="s">
        <v>11</v>
      </c>
      <c r="D35" s="367"/>
      <c r="E35" s="367"/>
      <c r="F35" s="367"/>
      <c r="G35" s="357">
        <f>7500+17500+1950+116.64</f>
        <v>27066.64</v>
      </c>
    </row>
    <row r="36" spans="1:7" ht="78.75">
      <c r="A36" s="355">
        <v>150101</v>
      </c>
      <c r="B36" s="355" t="s">
        <v>550</v>
      </c>
      <c r="C36" s="355" t="s">
        <v>12</v>
      </c>
      <c r="D36" s="367"/>
      <c r="E36" s="367"/>
      <c r="F36" s="367"/>
      <c r="G36" s="357">
        <f>46276.68+1200</f>
        <v>47476.68</v>
      </c>
    </row>
    <row r="37" spans="1:7" ht="47.25">
      <c r="A37" s="355">
        <v>150101</v>
      </c>
      <c r="B37" s="355" t="s">
        <v>550</v>
      </c>
      <c r="C37" s="355" t="s">
        <v>13</v>
      </c>
      <c r="D37" s="367"/>
      <c r="E37" s="367"/>
      <c r="F37" s="367"/>
      <c r="G37" s="357">
        <v>33058.8</v>
      </c>
    </row>
    <row r="38" spans="1:7" ht="83.25" customHeight="1">
      <c r="A38" s="355">
        <v>150101</v>
      </c>
      <c r="B38" s="355" t="s">
        <v>550</v>
      </c>
      <c r="C38" s="355" t="s">
        <v>14</v>
      </c>
      <c r="D38" s="367"/>
      <c r="E38" s="367"/>
      <c r="F38" s="367"/>
      <c r="G38" s="357">
        <v>19043</v>
      </c>
    </row>
    <row r="39" spans="1:7" ht="47.25">
      <c r="A39" s="355">
        <v>150101</v>
      </c>
      <c r="B39" s="355" t="s">
        <v>550</v>
      </c>
      <c r="C39" s="355" t="s">
        <v>15</v>
      </c>
      <c r="D39" s="367"/>
      <c r="E39" s="367"/>
      <c r="F39" s="367"/>
      <c r="G39" s="357">
        <f>11323.2+1980+28946.4+25107.6</f>
        <v>67357.20000000001</v>
      </c>
    </row>
    <row r="40" spans="1:7" ht="63">
      <c r="A40" s="355">
        <v>150101</v>
      </c>
      <c r="B40" s="355" t="s">
        <v>550</v>
      </c>
      <c r="C40" s="355" t="s">
        <v>16</v>
      </c>
      <c r="D40" s="367"/>
      <c r="E40" s="367"/>
      <c r="F40" s="367"/>
      <c r="G40" s="357">
        <f>12951+200+175540</f>
        <v>188691</v>
      </c>
    </row>
    <row r="41" spans="1:7" ht="78.75">
      <c r="A41" s="355">
        <v>150101</v>
      </c>
      <c r="B41" s="355" t="s">
        <v>550</v>
      </c>
      <c r="C41" s="355" t="s">
        <v>17</v>
      </c>
      <c r="D41" s="367"/>
      <c r="E41" s="367"/>
      <c r="F41" s="367"/>
      <c r="G41" s="357">
        <f>500</f>
        <v>500</v>
      </c>
    </row>
    <row r="42" spans="1:7" ht="47.25">
      <c r="A42" s="355">
        <v>150101</v>
      </c>
      <c r="B42" s="355" t="s">
        <v>550</v>
      </c>
      <c r="C42" s="355" t="s">
        <v>18</v>
      </c>
      <c r="D42" s="367"/>
      <c r="E42" s="367"/>
      <c r="F42" s="367"/>
      <c r="G42" s="357">
        <f>15817+131120+400</f>
        <v>147337</v>
      </c>
    </row>
    <row r="43" spans="1:7" ht="47.25">
      <c r="A43" s="355">
        <v>150101</v>
      </c>
      <c r="B43" s="355" t="s">
        <v>550</v>
      </c>
      <c r="C43" s="355" t="s">
        <v>19</v>
      </c>
      <c r="D43" s="367"/>
      <c r="E43" s="367"/>
      <c r="F43" s="367"/>
      <c r="G43" s="357">
        <f>56455+259.2+4354</f>
        <v>61068.2</v>
      </c>
    </row>
    <row r="44" spans="1:7" ht="31.5">
      <c r="A44" s="355">
        <v>150101</v>
      </c>
      <c r="B44" s="355" t="s">
        <v>550</v>
      </c>
      <c r="C44" s="355" t="s">
        <v>20</v>
      </c>
      <c r="D44" s="367"/>
      <c r="E44" s="367"/>
      <c r="F44" s="367"/>
      <c r="G44" s="357">
        <f>90526+1056+118434</f>
        <v>210016</v>
      </c>
    </row>
    <row r="45" spans="1:7" ht="31.5">
      <c r="A45" s="355">
        <v>150101</v>
      </c>
      <c r="B45" s="355" t="s">
        <v>550</v>
      </c>
      <c r="C45" s="355" t="s">
        <v>21</v>
      </c>
      <c r="D45" s="367"/>
      <c r="E45" s="367"/>
      <c r="F45" s="367"/>
      <c r="G45" s="357">
        <f>38024+27158+336</f>
        <v>65518</v>
      </c>
    </row>
    <row r="46" spans="1:7" ht="31.5">
      <c r="A46" s="355">
        <v>150101</v>
      </c>
      <c r="B46" s="355" t="s">
        <v>550</v>
      </c>
      <c r="C46" s="355" t="s">
        <v>22</v>
      </c>
      <c r="D46" s="367"/>
      <c r="E46" s="367"/>
      <c r="F46" s="367"/>
      <c r="G46" s="357">
        <f>125970</f>
        <v>125970</v>
      </c>
    </row>
    <row r="47" spans="1:7" ht="31.5">
      <c r="A47" s="369" t="s">
        <v>618</v>
      </c>
      <c r="B47" s="350" t="s">
        <v>619</v>
      </c>
      <c r="C47" s="351" t="s">
        <v>423</v>
      </c>
      <c r="D47" s="352"/>
      <c r="E47" s="352"/>
      <c r="F47" s="352"/>
      <c r="G47" s="353">
        <f>G48+G49+G50+G51+G52+G53+G54+G55+G56</f>
        <v>2288073.25</v>
      </c>
    </row>
    <row r="48" spans="1:7" ht="31.5">
      <c r="A48" s="91" t="s">
        <v>434</v>
      </c>
      <c r="B48" s="92" t="s">
        <v>435</v>
      </c>
      <c r="C48" s="366"/>
      <c r="D48" s="367"/>
      <c r="E48" s="367"/>
      <c r="F48" s="367"/>
      <c r="G48" s="357">
        <v>28808.2</v>
      </c>
    </row>
    <row r="49" spans="1:7" ht="31.5">
      <c r="A49" s="91" t="s">
        <v>436</v>
      </c>
      <c r="B49" s="92" t="s">
        <v>437</v>
      </c>
      <c r="C49" s="366"/>
      <c r="D49" s="367"/>
      <c r="E49" s="367"/>
      <c r="F49" s="367"/>
      <c r="G49" s="357">
        <v>48000</v>
      </c>
    </row>
    <row r="50" spans="1:7" ht="31.5">
      <c r="A50" s="91" t="s">
        <v>438</v>
      </c>
      <c r="B50" s="94" t="s">
        <v>439</v>
      </c>
      <c r="C50" s="366"/>
      <c r="D50" s="367"/>
      <c r="E50" s="367"/>
      <c r="F50" s="367"/>
      <c r="G50" s="357">
        <v>158924.56</v>
      </c>
    </row>
    <row r="51" spans="1:7" ht="47.25">
      <c r="A51" s="91" t="s">
        <v>440</v>
      </c>
      <c r="B51" s="92" t="s">
        <v>441</v>
      </c>
      <c r="C51" s="366"/>
      <c r="D51" s="367"/>
      <c r="E51" s="367"/>
      <c r="F51" s="367"/>
      <c r="G51" s="357">
        <v>750701.22</v>
      </c>
    </row>
    <row r="52" spans="1:7" ht="94.5">
      <c r="A52" s="91" t="s">
        <v>442</v>
      </c>
      <c r="B52" s="92" t="s">
        <v>443</v>
      </c>
      <c r="C52" s="366"/>
      <c r="D52" s="367"/>
      <c r="E52" s="367"/>
      <c r="F52" s="367"/>
      <c r="G52" s="357">
        <v>36203</v>
      </c>
    </row>
    <row r="53" spans="1:7" ht="15.75">
      <c r="A53" s="91" t="s">
        <v>446</v>
      </c>
      <c r="B53" s="92" t="s">
        <v>447</v>
      </c>
      <c r="C53" s="366"/>
      <c r="D53" s="367"/>
      <c r="E53" s="367"/>
      <c r="F53" s="367"/>
      <c r="G53" s="357">
        <v>1236451.27</v>
      </c>
    </row>
    <row r="54" spans="1:7" ht="31.5">
      <c r="A54" s="91" t="s">
        <v>450</v>
      </c>
      <c r="B54" s="92" t="s">
        <v>451</v>
      </c>
      <c r="C54" s="370"/>
      <c r="D54" s="370"/>
      <c r="E54" s="370"/>
      <c r="F54" s="370"/>
      <c r="G54" s="357">
        <v>6485</v>
      </c>
    </row>
    <row r="55" spans="1:7" ht="15.75">
      <c r="A55" s="91" t="s">
        <v>461</v>
      </c>
      <c r="B55" s="92" t="s">
        <v>23</v>
      </c>
      <c r="C55" s="356"/>
      <c r="D55" s="356"/>
      <c r="E55" s="356"/>
      <c r="F55" s="356"/>
      <c r="G55" s="357">
        <v>15000</v>
      </c>
    </row>
    <row r="56" spans="1:7" ht="31.5">
      <c r="A56" s="91" t="s">
        <v>542</v>
      </c>
      <c r="B56" s="92" t="s">
        <v>543</v>
      </c>
      <c r="C56" s="356"/>
      <c r="D56" s="356"/>
      <c r="E56" s="356"/>
      <c r="F56" s="356"/>
      <c r="G56" s="357">
        <v>7500</v>
      </c>
    </row>
    <row r="57" spans="1:7" ht="33" customHeight="1">
      <c r="A57" s="369" t="s">
        <v>629</v>
      </c>
      <c r="B57" s="350" t="s">
        <v>630</v>
      </c>
      <c r="C57" s="351" t="s">
        <v>423</v>
      </c>
      <c r="D57" s="352"/>
      <c r="E57" s="352"/>
      <c r="F57" s="352"/>
      <c r="G57" s="353">
        <f>G58</f>
        <v>137724</v>
      </c>
    </row>
    <row r="58" spans="1:7" ht="31.5">
      <c r="A58" s="91" t="s">
        <v>538</v>
      </c>
      <c r="B58" s="96" t="s">
        <v>539</v>
      </c>
      <c r="C58" s="356"/>
      <c r="D58" s="356"/>
      <c r="E58" s="356"/>
      <c r="F58" s="356"/>
      <c r="G58" s="357">
        <v>137724</v>
      </c>
    </row>
    <row r="59" spans="1:7" ht="31.5">
      <c r="A59" s="369" t="s">
        <v>631</v>
      </c>
      <c r="B59" s="350" t="s">
        <v>632</v>
      </c>
      <c r="C59" s="351" t="s">
        <v>423</v>
      </c>
      <c r="D59" s="352"/>
      <c r="E59" s="352"/>
      <c r="F59" s="352"/>
      <c r="G59" s="353">
        <f>G61+G62+G60</f>
        <v>170009.62</v>
      </c>
    </row>
    <row r="60" spans="1:7" ht="19.5" customHeight="1">
      <c r="A60" s="91" t="s">
        <v>448</v>
      </c>
      <c r="B60" s="95" t="s">
        <v>449</v>
      </c>
      <c r="C60" s="366"/>
      <c r="D60" s="367"/>
      <c r="E60" s="367"/>
      <c r="F60" s="367"/>
      <c r="G60" s="357">
        <v>117809.62</v>
      </c>
    </row>
    <row r="61" spans="1:7" ht="66.75" customHeight="1">
      <c r="A61" s="91" t="s">
        <v>468</v>
      </c>
      <c r="B61" s="95" t="s">
        <v>469</v>
      </c>
      <c r="C61" s="356"/>
      <c r="D61" s="356"/>
      <c r="E61" s="356"/>
      <c r="F61" s="356"/>
      <c r="G61" s="357">
        <v>3900</v>
      </c>
    </row>
    <row r="62" spans="1:7" ht="47.25">
      <c r="A62" s="91" t="s">
        <v>571</v>
      </c>
      <c r="B62" s="95" t="s">
        <v>572</v>
      </c>
      <c r="C62" s="366"/>
      <c r="D62" s="367"/>
      <c r="E62" s="367"/>
      <c r="F62" s="367"/>
      <c r="G62" s="371">
        <v>48300</v>
      </c>
    </row>
    <row r="63" spans="1:7" ht="31.5">
      <c r="A63" s="369" t="s">
        <v>645</v>
      </c>
      <c r="B63" s="350" t="s">
        <v>646</v>
      </c>
      <c r="C63" s="351" t="s">
        <v>423</v>
      </c>
      <c r="D63" s="352"/>
      <c r="E63" s="352"/>
      <c r="F63" s="352"/>
      <c r="G63" s="353">
        <f>G64+G65</f>
        <v>161674.91999999998</v>
      </c>
    </row>
    <row r="64" spans="1:7" ht="15.75">
      <c r="A64" s="91" t="s">
        <v>518</v>
      </c>
      <c r="B64" s="96" t="s">
        <v>519</v>
      </c>
      <c r="C64" s="372"/>
      <c r="D64" s="372"/>
      <c r="E64" s="372"/>
      <c r="F64" s="372"/>
      <c r="G64" s="371">
        <v>140000</v>
      </c>
    </row>
    <row r="65" spans="1:7" ht="15.75">
      <c r="A65" s="91" t="s">
        <v>520</v>
      </c>
      <c r="B65" s="102" t="s">
        <v>521</v>
      </c>
      <c r="C65" s="372"/>
      <c r="D65" s="372"/>
      <c r="E65" s="372"/>
      <c r="F65" s="372"/>
      <c r="G65" s="371">
        <v>21674.92</v>
      </c>
    </row>
    <row r="66" spans="1:7" ht="31.5">
      <c r="A66" s="369" t="s">
        <v>647</v>
      </c>
      <c r="B66" s="350" t="s">
        <v>648</v>
      </c>
      <c r="C66" s="351" t="s">
        <v>423</v>
      </c>
      <c r="D66" s="352"/>
      <c r="E66" s="352"/>
      <c r="F66" s="352"/>
      <c r="G66" s="353">
        <f>G67+G68</f>
        <v>893515.98</v>
      </c>
    </row>
    <row r="67" spans="1:7" ht="63">
      <c r="A67" s="91" t="s">
        <v>592</v>
      </c>
      <c r="B67" s="96" t="s">
        <v>593</v>
      </c>
      <c r="C67" s="366"/>
      <c r="D67" s="367"/>
      <c r="E67" s="367"/>
      <c r="F67" s="367"/>
      <c r="G67" s="371">
        <v>396554.88</v>
      </c>
    </row>
    <row r="68" spans="1:7" ht="15.75">
      <c r="A68" s="91" t="s">
        <v>594</v>
      </c>
      <c r="B68" s="96" t="s">
        <v>596</v>
      </c>
      <c r="C68" s="372"/>
      <c r="D68" s="372"/>
      <c r="E68" s="372"/>
      <c r="F68" s="372"/>
      <c r="G68" s="371">
        <v>496961.1</v>
      </c>
    </row>
    <row r="69" spans="1:7" ht="47.25">
      <c r="A69" s="369" t="s">
        <v>664</v>
      </c>
      <c r="B69" s="350" t="s">
        <v>665</v>
      </c>
      <c r="C69" s="351" t="s">
        <v>423</v>
      </c>
      <c r="D69" s="352"/>
      <c r="E69" s="352"/>
      <c r="F69" s="352"/>
      <c r="G69" s="353">
        <f>G70</f>
        <v>34000</v>
      </c>
    </row>
    <row r="70" spans="1:7" ht="47.25">
      <c r="A70" s="91" t="s">
        <v>571</v>
      </c>
      <c r="B70" s="112" t="s">
        <v>572</v>
      </c>
      <c r="C70" s="372"/>
      <c r="D70" s="372"/>
      <c r="E70" s="372"/>
      <c r="F70" s="372"/>
      <c r="G70" s="371">
        <v>34000</v>
      </c>
    </row>
    <row r="71" spans="1:7" ht="31.5">
      <c r="A71" s="369" t="s">
        <v>668</v>
      </c>
      <c r="B71" s="350" t="s">
        <v>669</v>
      </c>
      <c r="C71" s="351" t="s">
        <v>423</v>
      </c>
      <c r="D71" s="352"/>
      <c r="E71" s="352"/>
      <c r="F71" s="352"/>
      <c r="G71" s="353">
        <f>G72</f>
        <v>37000</v>
      </c>
    </row>
    <row r="72" spans="1:7" ht="63">
      <c r="A72" s="91" t="s">
        <v>594</v>
      </c>
      <c r="B72" s="96" t="s">
        <v>595</v>
      </c>
      <c r="C72" s="372"/>
      <c r="D72" s="372"/>
      <c r="E72" s="372"/>
      <c r="F72" s="372"/>
      <c r="G72" s="373">
        <v>37000</v>
      </c>
    </row>
    <row r="73" spans="1:8" ht="19.5">
      <c r="A73" s="374"/>
      <c r="B73" s="375" t="s">
        <v>24</v>
      </c>
      <c r="C73" s="374"/>
      <c r="D73" s="374"/>
      <c r="E73" s="374"/>
      <c r="F73" s="376"/>
      <c r="G73" s="377">
        <f>G8+G47+G57+G59+G63+G66+G69+G71</f>
        <v>17848078.05</v>
      </c>
      <c r="H73" s="378"/>
    </row>
    <row r="74" ht="15.75" customHeight="1">
      <c r="H74" s="354"/>
    </row>
    <row r="75" spans="1:8" ht="18.75" customHeight="1">
      <c r="A75" s="626" t="s">
        <v>373</v>
      </c>
      <c r="B75" s="626"/>
      <c r="C75" s="626"/>
      <c r="D75"/>
      <c r="E75" s="217"/>
      <c r="F75" s="606" t="s">
        <v>375</v>
      </c>
      <c r="G75" s="606"/>
      <c r="H75" s="131"/>
    </row>
    <row r="78" ht="15.75">
      <c r="G78" s="379"/>
    </row>
  </sheetData>
  <mergeCells count="8">
    <mergeCell ref="A75:C75"/>
    <mergeCell ref="F75:G75"/>
    <mergeCell ref="A4:G4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8" sqref="C8"/>
    </sheetView>
  </sheetViews>
  <sheetFormatPr defaultColWidth="9.33203125" defaultRowHeight="12.75"/>
  <cols>
    <col min="1" max="1" width="25.66015625" style="279" customWidth="1"/>
    <col min="2" max="2" width="44.66015625" style="279" customWidth="1"/>
    <col min="3" max="3" width="111.33203125" style="279" customWidth="1"/>
    <col min="4" max="4" width="25" style="435" customWidth="1"/>
    <col min="5" max="5" width="71" style="279" customWidth="1"/>
    <col min="6" max="6" width="23.33203125" style="435" customWidth="1"/>
    <col min="7" max="7" width="21.66015625" style="435" customWidth="1"/>
    <col min="8" max="8" width="21.66015625" style="279" customWidth="1"/>
    <col min="9" max="16384" width="9.33203125" style="279" customWidth="1"/>
  </cols>
  <sheetData>
    <row r="1" spans="2:7" ht="45" customHeight="1">
      <c r="B1" s="380"/>
      <c r="C1" s="628"/>
      <c r="D1" s="628"/>
      <c r="E1" s="278"/>
      <c r="F1" s="381" t="s">
        <v>25</v>
      </c>
      <c r="G1" s="382"/>
    </row>
    <row r="2" spans="2:7" ht="15.75">
      <c r="B2" s="278"/>
      <c r="C2" s="278"/>
      <c r="D2" s="382"/>
      <c r="E2" s="278"/>
      <c r="F2" s="383" t="s">
        <v>736</v>
      </c>
      <c r="G2" s="382"/>
    </row>
    <row r="3" spans="2:7" ht="18" customHeight="1">
      <c r="B3" s="278"/>
      <c r="C3" s="278"/>
      <c r="D3" s="382"/>
      <c r="E3" s="278"/>
      <c r="F3" s="383" t="s">
        <v>411</v>
      </c>
      <c r="G3" s="382"/>
    </row>
    <row r="4" spans="2:7" ht="18" customHeight="1">
      <c r="B4" s="278"/>
      <c r="C4" s="278"/>
      <c r="D4" s="382"/>
      <c r="E4" s="278"/>
      <c r="F4" s="383"/>
      <c r="G4" s="382"/>
    </row>
    <row r="5" spans="1:7" ht="37.5" customHeight="1">
      <c r="A5" s="629" t="s">
        <v>26</v>
      </c>
      <c r="B5" s="629"/>
      <c r="C5" s="629"/>
      <c r="D5" s="629"/>
      <c r="E5" s="629"/>
      <c r="F5" s="629"/>
      <c r="G5" s="629"/>
    </row>
    <row r="6" spans="2:7" ht="15.75">
      <c r="B6" s="278"/>
      <c r="C6" s="278"/>
      <c r="D6" s="382"/>
      <c r="E6" s="278"/>
      <c r="F6" s="382"/>
      <c r="G6" s="383" t="s">
        <v>417</v>
      </c>
    </row>
    <row r="7" spans="1:7" ht="81.75" customHeight="1">
      <c r="A7" s="302" t="s">
        <v>723</v>
      </c>
      <c r="B7" s="384" t="s">
        <v>604</v>
      </c>
      <c r="C7" s="630" t="s">
        <v>27</v>
      </c>
      <c r="D7" s="630"/>
      <c r="E7" s="630" t="s">
        <v>28</v>
      </c>
      <c r="F7" s="630"/>
      <c r="G7" s="385" t="s">
        <v>29</v>
      </c>
    </row>
    <row r="8" spans="1:7" ht="87.75" customHeight="1">
      <c r="A8" s="302" t="s">
        <v>30</v>
      </c>
      <c r="B8" s="384" t="s">
        <v>419</v>
      </c>
      <c r="C8" s="384" t="s">
        <v>31</v>
      </c>
      <c r="D8" s="386" t="s">
        <v>32</v>
      </c>
      <c r="E8" s="384" t="s">
        <v>31</v>
      </c>
      <c r="F8" s="386" t="s">
        <v>32</v>
      </c>
      <c r="G8" s="386" t="s">
        <v>32</v>
      </c>
    </row>
    <row r="9" spans="1:7" ht="39" customHeight="1">
      <c r="A9" s="153" t="s">
        <v>605</v>
      </c>
      <c r="B9" s="387" t="s">
        <v>606</v>
      </c>
      <c r="C9" s="388"/>
      <c r="D9" s="389">
        <f>D10</f>
        <v>34000</v>
      </c>
      <c r="E9" s="388"/>
      <c r="F9" s="389">
        <f>F10</f>
        <v>0</v>
      </c>
      <c r="G9" s="389">
        <f aca="true" t="shared" si="0" ref="G9:G36">D9+F9</f>
        <v>34000</v>
      </c>
    </row>
    <row r="10" spans="1:7" ht="41.25" customHeight="1">
      <c r="A10" s="390" t="s">
        <v>584</v>
      </c>
      <c r="B10" s="391" t="s">
        <v>33</v>
      </c>
      <c r="C10" s="391" t="s">
        <v>586</v>
      </c>
      <c r="D10" s="392">
        <v>34000</v>
      </c>
      <c r="E10" s="302"/>
      <c r="F10" s="386"/>
      <c r="G10" s="386">
        <f t="shared" si="0"/>
        <v>34000</v>
      </c>
    </row>
    <row r="11" spans="1:8" ht="45" customHeight="1">
      <c r="A11" s="393" t="s">
        <v>610</v>
      </c>
      <c r="B11" s="387" t="s">
        <v>611</v>
      </c>
      <c r="C11" s="388" t="s">
        <v>423</v>
      </c>
      <c r="D11" s="389">
        <f>D12</f>
        <v>30000</v>
      </c>
      <c r="E11" s="388" t="s">
        <v>423</v>
      </c>
      <c r="F11" s="389">
        <f>F12</f>
        <v>0</v>
      </c>
      <c r="G11" s="389">
        <f t="shared" si="0"/>
        <v>30000</v>
      </c>
      <c r="H11" s="394"/>
    </row>
    <row r="12" spans="1:8" ht="25.5" customHeight="1">
      <c r="A12" s="390" t="s">
        <v>584</v>
      </c>
      <c r="B12" s="391" t="s">
        <v>33</v>
      </c>
      <c r="C12" s="391" t="s">
        <v>587</v>
      </c>
      <c r="D12" s="392">
        <v>30000</v>
      </c>
      <c r="E12" s="395"/>
      <c r="F12" s="396"/>
      <c r="G12" s="399">
        <f t="shared" si="0"/>
        <v>30000</v>
      </c>
      <c r="H12" s="394"/>
    </row>
    <row r="13" spans="1:8" s="401" customFormat="1" ht="85.5" customHeight="1">
      <c r="A13" s="393" t="s">
        <v>612</v>
      </c>
      <c r="B13" s="387" t="s">
        <v>613</v>
      </c>
      <c r="C13" s="388"/>
      <c r="D13" s="389">
        <f>D14</f>
        <v>67000</v>
      </c>
      <c r="E13" s="388"/>
      <c r="F13" s="389">
        <f>F14</f>
        <v>0</v>
      </c>
      <c r="G13" s="389">
        <f t="shared" si="0"/>
        <v>67000</v>
      </c>
      <c r="H13" s="400"/>
    </row>
    <row r="14" spans="1:8" s="401" customFormat="1" ht="49.5" customHeight="1">
      <c r="A14" s="390" t="s">
        <v>532</v>
      </c>
      <c r="B14" s="391" t="s">
        <v>34</v>
      </c>
      <c r="C14" s="391" t="s">
        <v>534</v>
      </c>
      <c r="D14" s="392">
        <v>67000</v>
      </c>
      <c r="E14" s="402"/>
      <c r="F14" s="396"/>
      <c r="G14" s="399">
        <f t="shared" si="0"/>
        <v>67000</v>
      </c>
      <c r="H14" s="400"/>
    </row>
    <row r="15" spans="1:8" s="401" customFormat="1" ht="75.75" customHeight="1">
      <c r="A15" s="393" t="s">
        <v>614</v>
      </c>
      <c r="B15" s="387" t="s">
        <v>615</v>
      </c>
      <c r="C15" s="388" t="s">
        <v>423</v>
      </c>
      <c r="D15" s="389">
        <f>D16</f>
        <v>23100</v>
      </c>
      <c r="E15" s="388" t="s">
        <v>423</v>
      </c>
      <c r="F15" s="389">
        <f>F16</f>
        <v>0</v>
      </c>
      <c r="G15" s="389">
        <f t="shared" si="0"/>
        <v>23100</v>
      </c>
      <c r="H15" s="400"/>
    </row>
    <row r="16" spans="1:8" s="401" customFormat="1" ht="37.5">
      <c r="A16" s="91" t="s">
        <v>562</v>
      </c>
      <c r="B16" s="403" t="s">
        <v>563</v>
      </c>
      <c r="C16" s="403" t="s">
        <v>564</v>
      </c>
      <c r="D16" s="392">
        <v>23100</v>
      </c>
      <c r="E16" s="404"/>
      <c r="F16" s="392"/>
      <c r="G16" s="399">
        <f t="shared" si="0"/>
        <v>23100</v>
      </c>
      <c r="H16" s="400"/>
    </row>
    <row r="17" spans="1:9" s="406" customFormat="1" ht="42" customHeight="1">
      <c r="A17" s="393" t="s">
        <v>624</v>
      </c>
      <c r="B17" s="387" t="s">
        <v>625</v>
      </c>
      <c r="C17" s="388" t="s">
        <v>423</v>
      </c>
      <c r="D17" s="389">
        <f>D18+D21+D22</f>
        <v>21920.49</v>
      </c>
      <c r="E17" s="388" t="s">
        <v>423</v>
      </c>
      <c r="F17" s="389">
        <f>F18+F21+F22</f>
        <v>82022.8</v>
      </c>
      <c r="G17" s="389">
        <f t="shared" si="0"/>
        <v>103943.29000000001</v>
      </c>
      <c r="H17" s="394"/>
      <c r="I17" s="405"/>
    </row>
    <row r="18" spans="1:9" s="406" customFormat="1" ht="36" customHeight="1">
      <c r="A18" s="407"/>
      <c r="B18" s="403"/>
      <c r="C18" s="408" t="s">
        <v>35</v>
      </c>
      <c r="D18" s="392">
        <f>D19+D20</f>
        <v>20732.49</v>
      </c>
      <c r="E18" s="409"/>
      <c r="F18" s="410"/>
      <c r="G18" s="399">
        <f t="shared" si="0"/>
        <v>20732.49</v>
      </c>
      <c r="H18" s="394"/>
      <c r="I18" s="405"/>
    </row>
    <row r="19" spans="1:9" s="406" customFormat="1" ht="57" customHeight="1">
      <c r="A19" s="407" t="s">
        <v>503</v>
      </c>
      <c r="B19" s="403" t="s">
        <v>504</v>
      </c>
      <c r="C19" s="408" t="s">
        <v>505</v>
      </c>
      <c r="D19" s="392">
        <v>18732.49</v>
      </c>
      <c r="E19" s="409"/>
      <c r="F19" s="410"/>
      <c r="G19" s="399">
        <f t="shared" si="0"/>
        <v>18732.49</v>
      </c>
      <c r="H19" s="394"/>
      <c r="I19" s="405"/>
    </row>
    <row r="20" spans="1:9" s="406" customFormat="1" ht="32.25" customHeight="1">
      <c r="A20" s="407" t="s">
        <v>507</v>
      </c>
      <c r="B20" s="403" t="s">
        <v>508</v>
      </c>
      <c r="C20" s="408" t="s">
        <v>505</v>
      </c>
      <c r="D20" s="392">
        <v>2000</v>
      </c>
      <c r="E20" s="409"/>
      <c r="F20" s="410"/>
      <c r="G20" s="399">
        <f t="shared" si="0"/>
        <v>2000</v>
      </c>
      <c r="H20" s="394"/>
      <c r="I20" s="405"/>
    </row>
    <row r="21" spans="1:9" s="406" customFormat="1" ht="55.5" customHeight="1">
      <c r="A21" s="407" t="s">
        <v>503</v>
      </c>
      <c r="B21" s="403" t="s">
        <v>504</v>
      </c>
      <c r="C21" s="408" t="s">
        <v>506</v>
      </c>
      <c r="D21" s="392">
        <v>1188</v>
      </c>
      <c r="E21" s="411"/>
      <c r="F21" s="412"/>
      <c r="G21" s="399">
        <f t="shared" si="0"/>
        <v>1188</v>
      </c>
      <c r="H21" s="394"/>
      <c r="I21" s="405"/>
    </row>
    <row r="22" spans="1:9" s="406" customFormat="1" ht="95.25" customHeight="1">
      <c r="A22" s="407">
        <v>250908</v>
      </c>
      <c r="B22" s="403" t="s">
        <v>729</v>
      </c>
      <c r="C22" s="408"/>
      <c r="D22" s="392"/>
      <c r="E22" s="413" t="s">
        <v>36</v>
      </c>
      <c r="F22" s="396">
        <v>82022.8</v>
      </c>
      <c r="G22" s="399">
        <f t="shared" si="0"/>
        <v>82022.8</v>
      </c>
      <c r="H22" s="394"/>
      <c r="I22" s="405"/>
    </row>
    <row r="23" spans="1:9" s="406" customFormat="1" ht="75.75" customHeight="1">
      <c r="A23" s="393" t="s">
        <v>641</v>
      </c>
      <c r="B23" s="387" t="s">
        <v>642</v>
      </c>
      <c r="C23" s="388" t="s">
        <v>423</v>
      </c>
      <c r="D23" s="389">
        <f>D24</f>
        <v>5384</v>
      </c>
      <c r="E23" s="388" t="s">
        <v>423</v>
      </c>
      <c r="F23" s="389">
        <f>F24</f>
        <v>0</v>
      </c>
      <c r="G23" s="389">
        <f t="shared" si="0"/>
        <v>5384</v>
      </c>
      <c r="H23" s="394"/>
      <c r="I23" s="405"/>
    </row>
    <row r="24" spans="1:8" s="405" customFormat="1" ht="38.25" customHeight="1">
      <c r="A24" s="414" t="s">
        <v>515</v>
      </c>
      <c r="B24" s="415" t="s">
        <v>516</v>
      </c>
      <c r="C24" s="413" t="s">
        <v>37</v>
      </c>
      <c r="D24" s="392">
        <v>5384</v>
      </c>
      <c r="E24" s="413"/>
      <c r="F24" s="396"/>
      <c r="G24" s="399">
        <f t="shared" si="0"/>
        <v>5384</v>
      </c>
      <c r="H24" s="394"/>
    </row>
    <row r="25" spans="1:9" s="406" customFormat="1" ht="38.25" customHeight="1">
      <c r="A25" s="393" t="s">
        <v>645</v>
      </c>
      <c r="B25" s="387" t="s">
        <v>646</v>
      </c>
      <c r="C25" s="388" t="s">
        <v>423</v>
      </c>
      <c r="D25" s="389">
        <f>D26</f>
        <v>20000</v>
      </c>
      <c r="E25" s="388" t="s">
        <v>423</v>
      </c>
      <c r="F25" s="389">
        <f>F26</f>
        <v>0</v>
      </c>
      <c r="G25" s="389">
        <f t="shared" si="0"/>
        <v>20000</v>
      </c>
      <c r="H25" s="394"/>
      <c r="I25" s="405"/>
    </row>
    <row r="26" spans="1:9" s="406" customFormat="1" ht="38.25" customHeight="1">
      <c r="A26" s="407" t="s">
        <v>584</v>
      </c>
      <c r="B26" s="403" t="s">
        <v>38</v>
      </c>
      <c r="C26" s="408" t="s">
        <v>39</v>
      </c>
      <c r="D26" s="392">
        <v>20000</v>
      </c>
      <c r="E26" s="416"/>
      <c r="F26" s="386"/>
      <c r="G26" s="399">
        <f t="shared" si="0"/>
        <v>20000</v>
      </c>
      <c r="H26" s="394"/>
      <c r="I26" s="405"/>
    </row>
    <row r="27" spans="1:8" s="406" customFormat="1" ht="56.25">
      <c r="A27" s="393" t="s">
        <v>659</v>
      </c>
      <c r="B27" s="387" t="s">
        <v>660</v>
      </c>
      <c r="C27" s="388" t="s">
        <v>423</v>
      </c>
      <c r="D27" s="389">
        <f>D28+D29+D30</f>
        <v>250000</v>
      </c>
      <c r="E27" s="388" t="s">
        <v>423</v>
      </c>
      <c r="F27" s="389">
        <f>F28+F29+F30</f>
        <v>369282</v>
      </c>
      <c r="G27" s="389">
        <f t="shared" si="0"/>
        <v>619282</v>
      </c>
      <c r="H27" s="394"/>
    </row>
    <row r="28" spans="1:8" s="405" customFormat="1" ht="37.5" customHeight="1">
      <c r="A28" s="407" t="s">
        <v>40</v>
      </c>
      <c r="B28" s="403" t="s">
        <v>41</v>
      </c>
      <c r="C28" s="408" t="s">
        <v>42</v>
      </c>
      <c r="D28" s="392">
        <v>200000</v>
      </c>
      <c r="E28" s="408" t="s">
        <v>42</v>
      </c>
      <c r="F28" s="396">
        <f>115000+35000</f>
        <v>150000</v>
      </c>
      <c r="G28" s="399">
        <f t="shared" si="0"/>
        <v>350000</v>
      </c>
      <c r="H28" s="394"/>
    </row>
    <row r="29" spans="1:8" s="406" customFormat="1" ht="68.25" customHeight="1">
      <c r="A29" s="417">
        <v>250911</v>
      </c>
      <c r="B29" s="404" t="s">
        <v>733</v>
      </c>
      <c r="C29" s="391" t="s">
        <v>589</v>
      </c>
      <c r="D29" s="396">
        <v>50000</v>
      </c>
      <c r="E29" s="391" t="s">
        <v>589</v>
      </c>
      <c r="F29" s="396">
        <v>145000</v>
      </c>
      <c r="G29" s="399">
        <f t="shared" si="0"/>
        <v>195000</v>
      </c>
      <c r="H29" s="400"/>
    </row>
    <row r="30" spans="1:8" s="406" customFormat="1" ht="60.75" customHeight="1">
      <c r="A30" s="417">
        <v>250911</v>
      </c>
      <c r="B30" s="404" t="s">
        <v>733</v>
      </c>
      <c r="C30" s="418"/>
      <c r="D30" s="419"/>
      <c r="E30" s="413" t="s">
        <v>43</v>
      </c>
      <c r="F30" s="420">
        <v>74282</v>
      </c>
      <c r="G30" s="421">
        <f t="shared" si="0"/>
        <v>74282</v>
      </c>
      <c r="H30" s="400"/>
    </row>
    <row r="31" spans="1:8" s="406" customFormat="1" ht="78.75" customHeight="1">
      <c r="A31" s="393" t="s">
        <v>664</v>
      </c>
      <c r="B31" s="387" t="s">
        <v>665</v>
      </c>
      <c r="C31" s="388" t="s">
        <v>423</v>
      </c>
      <c r="D31" s="389">
        <f>D32</f>
        <v>0</v>
      </c>
      <c r="E31" s="388" t="s">
        <v>423</v>
      </c>
      <c r="F31" s="389">
        <f>F32</f>
        <v>34000</v>
      </c>
      <c r="G31" s="389">
        <f t="shared" si="0"/>
        <v>34000</v>
      </c>
      <c r="H31" s="400"/>
    </row>
    <row r="32" spans="1:8" s="406" customFormat="1" ht="86.25" customHeight="1">
      <c r="A32" s="105" t="s">
        <v>44</v>
      </c>
      <c r="B32" s="104" t="s">
        <v>572</v>
      </c>
      <c r="C32" s="413"/>
      <c r="D32" s="392"/>
      <c r="E32" s="413" t="s">
        <v>573</v>
      </c>
      <c r="F32" s="396">
        <v>34000</v>
      </c>
      <c r="G32" s="399">
        <f t="shared" si="0"/>
        <v>34000</v>
      </c>
      <c r="H32" s="400"/>
    </row>
    <row r="33" spans="1:8" s="406" customFormat="1" ht="87.75" customHeight="1">
      <c r="A33" s="393" t="s">
        <v>668</v>
      </c>
      <c r="B33" s="387" t="s">
        <v>669</v>
      </c>
      <c r="C33" s="388" t="s">
        <v>423</v>
      </c>
      <c r="D33" s="389">
        <f>D34+D35</f>
        <v>24989.67</v>
      </c>
      <c r="E33" s="388" t="s">
        <v>423</v>
      </c>
      <c r="F33" s="389">
        <f>F34+F35</f>
        <v>0</v>
      </c>
      <c r="G33" s="389">
        <f t="shared" si="0"/>
        <v>24989.67</v>
      </c>
      <c r="H33" s="400"/>
    </row>
    <row r="34" spans="1:8" s="406" customFormat="1" ht="37.5">
      <c r="A34" s="407" t="s">
        <v>559</v>
      </c>
      <c r="B34" s="403" t="s">
        <v>560</v>
      </c>
      <c r="C34" s="413" t="s">
        <v>561</v>
      </c>
      <c r="D34" s="422">
        <v>17989.67</v>
      </c>
      <c r="E34" s="423"/>
      <c r="F34" s="424"/>
      <c r="G34" s="399">
        <f t="shared" si="0"/>
        <v>17989.67</v>
      </c>
      <c r="H34" s="400"/>
    </row>
    <row r="35" spans="1:8" s="406" customFormat="1" ht="36.75" customHeight="1">
      <c r="A35" s="105" t="s">
        <v>670</v>
      </c>
      <c r="B35" s="104" t="s">
        <v>671</v>
      </c>
      <c r="C35" s="413" t="s">
        <v>565</v>
      </c>
      <c r="D35" s="392">
        <v>7000</v>
      </c>
      <c r="E35" s="423"/>
      <c r="F35" s="424"/>
      <c r="G35" s="399">
        <f t="shared" si="0"/>
        <v>7000</v>
      </c>
      <c r="H35" s="400"/>
    </row>
    <row r="36" spans="1:8" s="406" customFormat="1" ht="60" customHeight="1">
      <c r="A36" s="105" t="s">
        <v>594</v>
      </c>
      <c r="B36" s="104" t="s">
        <v>378</v>
      </c>
      <c r="C36" s="413" t="s">
        <v>45</v>
      </c>
      <c r="D36" s="392">
        <v>16600</v>
      </c>
      <c r="E36" s="413" t="s">
        <v>45</v>
      </c>
      <c r="F36" s="396">
        <v>37000</v>
      </c>
      <c r="G36" s="399">
        <f t="shared" si="0"/>
        <v>53600</v>
      </c>
      <c r="H36" s="400"/>
    </row>
    <row r="37" spans="1:8" s="405" customFormat="1" ht="30.75" customHeight="1">
      <c r="A37" s="425"/>
      <c r="B37" s="426" t="s">
        <v>423</v>
      </c>
      <c r="C37" s="416"/>
      <c r="D37" s="386">
        <f>D9+D11+D13+D15+D17+D23+D25+D27+D31+D33</f>
        <v>476394.16</v>
      </c>
      <c r="E37" s="386"/>
      <c r="F37" s="386">
        <f>F9+F11+F13+F15+F17+F23+F25+F27+F31+F33</f>
        <v>485304.8</v>
      </c>
      <c r="G37" s="386">
        <f>D37+F37</f>
        <v>961698.96</v>
      </c>
      <c r="H37" s="427"/>
    </row>
    <row r="38" spans="1:7" ht="15.75">
      <c r="A38" s="428"/>
      <c r="B38" s="429"/>
      <c r="C38" s="430"/>
      <c r="D38" s="431"/>
      <c r="E38" s="432"/>
      <c r="F38" s="433"/>
      <c r="G38" s="433"/>
    </row>
    <row r="39" spans="1:5" ht="20.25">
      <c r="A39" s="278"/>
      <c r="B39" s="434" t="s">
        <v>46</v>
      </c>
      <c r="C39" s="278"/>
      <c r="D39" s="382"/>
      <c r="E39" s="434" t="s">
        <v>47</v>
      </c>
    </row>
    <row r="45" spans="1:4" ht="30.75" customHeight="1">
      <c r="A45" s="429"/>
      <c r="B45" s="436"/>
      <c r="C45" s="436"/>
      <c r="D45" s="433"/>
    </row>
  </sheetData>
  <mergeCells count="4">
    <mergeCell ref="C1:D1"/>
    <mergeCell ref="A5:G5"/>
    <mergeCell ref="C7:D7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Admin</cp:lastModifiedBy>
  <cp:lastPrinted>2013-01-29T07:51:17Z</cp:lastPrinted>
  <dcterms:created xsi:type="dcterms:W3CDTF">2006-05-19T11:15:48Z</dcterms:created>
  <dcterms:modified xsi:type="dcterms:W3CDTF">2013-02-12T09:05:42Z</dcterms:modified>
  <cp:category/>
  <cp:version/>
  <cp:contentType/>
  <cp:contentStatus/>
</cp:coreProperties>
</file>