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2"/>
  </bookViews>
  <sheets>
    <sheet name="додаток 1 " sheetId="1" r:id="rId1"/>
    <sheet name="додаток 2" sheetId="2" r:id="rId2"/>
    <sheet name="додаток 3" sheetId="3" r:id="rId3"/>
  </sheets>
  <definedNames>
    <definedName name="_ftn1" localSheetId="0">'додаток 1 '!$A$82</definedName>
    <definedName name="_ftn2" localSheetId="0">'додаток 1 '!$A$83</definedName>
    <definedName name="_ftnref1" localSheetId="0">'додаток 1 '!$A$61</definedName>
    <definedName name="_ftnref2" localSheetId="0">'додаток 1 '!$A$67</definedName>
    <definedName name="_xlnm.Print_Titles" localSheetId="0">'додаток 1 '!$6:$8</definedName>
    <definedName name="_xlnm.Print_Titles" localSheetId="1">'додаток 2'!$8:$12</definedName>
    <definedName name="_xlnm.Print_Titles" localSheetId="2">'додаток 3'!$3:$6</definedName>
    <definedName name="_xlnm.Print_Area" localSheetId="0">'додаток 1 '!$A$2:$F$23</definedName>
    <definedName name="_xlnm.Print_Area" localSheetId="1">'додаток 2'!$A$1:$N$61</definedName>
    <definedName name="_xlnm.Print_Area" localSheetId="2">'додаток 3'!$A$1:$N$112</definedName>
  </definedNames>
  <calcPr fullCalcOnLoad="1"/>
</workbook>
</file>

<file path=xl/sharedStrings.xml><?xml version="1.0" encoding="utf-8"?>
<sst xmlns="http://schemas.openxmlformats.org/spreadsheetml/2006/main" count="351" uniqueCount="241">
  <si>
    <t>Видатки, не вiднесенi до основних груп</t>
  </si>
  <si>
    <t xml:space="preserve"> за функціональною структурою</t>
  </si>
  <si>
    <t>14(гр3+гр8)</t>
  </si>
  <si>
    <t>РАЗОМ</t>
  </si>
  <si>
    <t>Видатки загального фонду</t>
  </si>
  <si>
    <t>Всього</t>
  </si>
  <si>
    <t>Видатки спеціального фонду</t>
  </si>
  <si>
    <t>поточні (код 1000)</t>
  </si>
  <si>
    <t>Головне фінансове управління облдержадміністрації</t>
  </si>
  <si>
    <t>Разом</t>
  </si>
  <si>
    <t>в тому числі</t>
  </si>
  <si>
    <t>з них</t>
  </si>
  <si>
    <t>Назва головного розпорядника коштів</t>
  </si>
  <si>
    <t>250000</t>
  </si>
  <si>
    <t>Міжбюджетні трансферти</t>
  </si>
  <si>
    <t>Видатки бюджету за функціональною структурою  (за шестизначним кодом)</t>
  </si>
  <si>
    <t>Код КТКВ</t>
  </si>
  <si>
    <t>з них: оплата праці (Код 1110)</t>
  </si>
  <si>
    <t>оплата комун.послуг та енергоносіїв (Код 1160)</t>
  </si>
  <si>
    <t>капітальні (Код 2000)</t>
  </si>
  <si>
    <t>8(гр.9+гр12)</t>
  </si>
  <si>
    <t>поточні (Код 1000)</t>
  </si>
  <si>
    <t>З них: Бюджет розвитку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</si>
  <si>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</si>
  <si>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</si>
  <si>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</si>
  <si>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</si>
  <si>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</si>
  <si>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220</t>
  </si>
  <si>
    <t>додаток 2</t>
  </si>
  <si>
    <t>дод 2 разом</t>
  </si>
  <si>
    <t>з доходами</t>
  </si>
  <si>
    <t>ВСЬОГО</t>
  </si>
  <si>
    <t>грн.</t>
  </si>
  <si>
    <t xml:space="preserve">Зміни видатків обласного  бюджету  на   2006 рік </t>
  </si>
  <si>
    <t xml:space="preserve">грн. 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</si>
  <si>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</si>
  <si>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</si>
  <si>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</si>
  <si>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</si>
  <si>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</si>
  <si>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</si>
  <si>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</si>
  <si>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</si>
  <si>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Субвенції</t>
  </si>
  <si>
    <t>Всього доходів</t>
  </si>
  <si>
    <t>030</t>
  </si>
  <si>
    <t xml:space="preserve">Управління охорони здоров’я </t>
  </si>
  <si>
    <t>080000</t>
  </si>
  <si>
    <t>Охорона здоров"я</t>
  </si>
  <si>
    <t>150</t>
  </si>
  <si>
    <t>Відділ з питань фізичної культури і  спорту  облдержадміністрації</t>
  </si>
  <si>
    <t>090000</t>
  </si>
  <si>
    <t>Соцiальний захист та соцiальне забезпечення</t>
  </si>
  <si>
    <t>Фiзична культура i спорт</t>
  </si>
  <si>
    <t>081002</t>
  </si>
  <si>
    <t>050</t>
  </si>
  <si>
    <t>Головне управління праці та соціального захисту населення</t>
  </si>
  <si>
    <t>Інші заходи по охороні здоров"я</t>
  </si>
  <si>
    <t>080201</t>
  </si>
  <si>
    <t xml:space="preserve">Спеціалізовані лікарні та інші спеціалізовані заклади </t>
  </si>
  <si>
    <t>091214</t>
  </si>
  <si>
    <t>Центр соціальної, медичної, професійної реабілітації інвалідів та центр з надання соцпослуг інвалідам</t>
  </si>
  <si>
    <t>В.Королюк</t>
  </si>
  <si>
    <t>020</t>
  </si>
  <si>
    <t>Управління  освіти та науки</t>
  </si>
  <si>
    <t>070000</t>
  </si>
  <si>
    <t>Освiта</t>
  </si>
  <si>
    <t>Перший заступник голови обласної ради</t>
  </si>
  <si>
    <t>091212</t>
  </si>
  <si>
    <t>Обробка інформації з нарахування та виплати допомог і компенсацій</t>
  </si>
  <si>
    <t>070601</t>
  </si>
  <si>
    <t>Вищі навчальн заклади І та ІІ рівнів акредитації</t>
  </si>
  <si>
    <t>130107</t>
  </si>
  <si>
    <t>Утримання та навчально-тренувальна робота дитячо-юнацьких спортивних шкiл</t>
  </si>
  <si>
    <t>070302</t>
  </si>
  <si>
    <t>Загальноосвітні школи-інтернати для дітей-сиріт та дітей, які залишилися без піклування батьків</t>
  </si>
  <si>
    <t>070303</t>
  </si>
  <si>
    <t>Дитячі будинки (в т.ч. сімейного типу, прийомні сім'ї)</t>
  </si>
  <si>
    <t>080</t>
  </si>
  <si>
    <t>250393</t>
  </si>
  <si>
    <t>Субвенція з державного бюджету місцевим бюджетам на погашення заборгованості минулих років з різниці в тарифах на теплову енергію, послуги водопостачання та водовідведення, що постачалися населенню, яка виникла у зв"язку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</t>
  </si>
  <si>
    <t>300  
250102</t>
  </si>
  <si>
    <t>Резервний фонд обласного бюджету</t>
  </si>
  <si>
    <t>250380</t>
  </si>
  <si>
    <t>250102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</si>
  <si>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</si>
  <si>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</si>
  <si>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091108</t>
  </si>
  <si>
    <t>Заходи з оздоровлення та відпочинку дітей 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</si>
  <si>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070807</t>
  </si>
  <si>
    <t>070301</t>
  </si>
  <si>
    <t>Загальноосвітні школи-інтернати, загальноосвітні санаторні школи-інтернати</t>
  </si>
  <si>
    <t>001</t>
  </si>
  <si>
    <t xml:space="preserve">Обласна рада 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</si>
  <si>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</si>
  <si>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250330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</si>
  <si>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</si>
  <si>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виплату допомоги сім"ям з дітьми, малозабезпеченим сім'ям, інвалідам з дитинства,  дітям-інвалідам та тимчасової державної допомоги дітям</t>
  </si>
  <si>
    <t>250376</t>
  </si>
  <si>
    <t>Субвенція з державного бюджету місцевим бюджетам наутримання дітей-сиріт та дітей, позбавлених батьківського піклування в дитячих будинках сімейного типу та прийомних сім"ях</t>
  </si>
  <si>
    <t>070</t>
  </si>
  <si>
    <t xml:space="preserve">Головне управління з питань НС та ЦЗН </t>
  </si>
  <si>
    <t>210110</t>
  </si>
  <si>
    <t>Заходи з організації рятування на водах</t>
  </si>
  <si>
    <t>Запобігання та лiквiдацiя надзвичайних ситуацiй та наслiдкiв стихiйного лиха</t>
  </si>
  <si>
    <t>060</t>
  </si>
  <si>
    <t>Відділ у справах сім‘ї та молоді облдержадміністрації</t>
  </si>
  <si>
    <t>091101</t>
  </si>
  <si>
    <t>Утримання центрiв соцiальних служб для сім"ї, дітей та молодi</t>
  </si>
  <si>
    <t xml:space="preserve"> 090412</t>
  </si>
  <si>
    <t>З них</t>
  </si>
  <si>
    <t xml:space="preserve">для лікування в Моршинському  Реабілітаційному центрі членам Рівненської обласної організації Братства вояків УПА ім. генерал-хорунжого К.Савури </t>
  </si>
  <si>
    <t>062</t>
  </si>
  <si>
    <t>090700</t>
  </si>
  <si>
    <t>Притулок для неповнолітніх</t>
  </si>
  <si>
    <t>Інші субвенції, в т.ч.:</t>
  </si>
  <si>
    <t>Демидівській РДА (на ліквідацію надзвичайних ситуацій)</t>
  </si>
  <si>
    <t>місцевим бюджетам області на здійснення енергозберігаючих заходів</t>
  </si>
  <si>
    <t>160</t>
  </si>
  <si>
    <t>Головне управління промисловості та розвитку інфраструктури</t>
  </si>
  <si>
    <t>Обласна комплексна програма енергозбереження на період 2004-2010 років, в т.ч.:</t>
  </si>
  <si>
    <t>інші субвенції (місцевим бюджетам області на здійснення енергозберігаючих заходів)</t>
  </si>
  <si>
    <t>230</t>
  </si>
  <si>
    <t>Головне  управління економіки облдержадміністрації</t>
  </si>
  <si>
    <t>180404</t>
  </si>
  <si>
    <t>Підтримка малого і середнього підприємгицтва</t>
  </si>
  <si>
    <t>В т.ч.</t>
  </si>
  <si>
    <t>Регіональна програма розвитку малого підприємництва в Рівненській області на 2005-2006 рр.</t>
  </si>
  <si>
    <t>180107</t>
  </si>
  <si>
    <t xml:space="preserve">проведення заходів по енергозбереженню </t>
  </si>
  <si>
    <t>104</t>
  </si>
  <si>
    <t>Управління культури облдержадміністрації</t>
  </si>
  <si>
    <t>110102</t>
  </si>
  <si>
    <t>Театри</t>
  </si>
  <si>
    <t>110103</t>
  </si>
  <si>
    <t>Фiлармонiї, музичнi колективи i ансамблi та iншi мистецькі  заклади та заходи</t>
  </si>
  <si>
    <t>110201</t>
  </si>
  <si>
    <t>Бiблiотеки</t>
  </si>
  <si>
    <t>110202</t>
  </si>
  <si>
    <t>Музеї i виставки</t>
  </si>
  <si>
    <t>110502</t>
  </si>
  <si>
    <t>Iншi культурно-освiтнi заклади та заходи</t>
  </si>
  <si>
    <t>централізована бухгалтерія при управлінні культури</t>
  </si>
  <si>
    <t xml:space="preserve"> культурно-освітні заходи</t>
  </si>
  <si>
    <t>Культура i мистецтво</t>
  </si>
  <si>
    <t>Iншi послуги, пов'язанi з економiчною дiяльнiстю</t>
  </si>
  <si>
    <t>Дотації</t>
  </si>
  <si>
    <t>Додаткова дотація з державного бюджету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</si>
  <si>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</si>
  <si>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250203</t>
  </si>
  <si>
    <t>090701</t>
  </si>
  <si>
    <t>Центри соціально-психологічної реабілітації</t>
  </si>
  <si>
    <t>090413</t>
  </si>
  <si>
    <t xml:space="preserve">Допомога на догляд за інвалідом I чи II групи в наслідок психічного розладу </t>
  </si>
  <si>
    <t>090417</t>
  </si>
  <si>
    <t>Витрати на поховання учасників бойових дій</t>
  </si>
  <si>
    <t>090601</t>
  </si>
  <si>
    <t>Будинки- інтернати для малолітніх інвалідів</t>
  </si>
  <si>
    <t>090901</t>
  </si>
  <si>
    <t>Будинки-iнтернати (пансіонати) для літніх людей та iнвалiдiв системи соцiального захисту</t>
  </si>
  <si>
    <t>Субвенція з державного бюджету місцевим бюджетам на утримання дітей-сиріт та дітей, позбавлених батьківського піклування в дитячих будинках сімейного типу та прийомних сім"ях</t>
  </si>
  <si>
    <t>091106</t>
  </si>
  <si>
    <t>Iншi видатки (обласний центр організації оздоровлення та формування здорового способу життя дітей та молоді)</t>
  </si>
  <si>
    <t>070304</t>
  </si>
  <si>
    <t>Среціальні загальноосвітні школи-інтернати, школи та інші заклади освіти для дітей з вадами у фізичному чи розумовому розвитку</t>
  </si>
  <si>
    <t>070401</t>
  </si>
  <si>
    <t>Позашкільні  заклади освіти,  заходи із позашкільної роботи з дітьми</t>
  </si>
  <si>
    <t>070701</t>
  </si>
  <si>
    <t>Заклади післядипломної освіти III-IV рівнів акредитації</t>
  </si>
  <si>
    <t>070802</t>
  </si>
  <si>
    <t>Методична робота, iншi заходи у сфері народної освiти</t>
  </si>
  <si>
    <t>070803</t>
  </si>
  <si>
    <t>Служби технічного нагляду за будівництвом та капітальним ремонтом</t>
  </si>
  <si>
    <t>070804</t>
  </si>
  <si>
    <t>Централізовані бузгалтерії</t>
  </si>
  <si>
    <t>070805</t>
  </si>
  <si>
    <t>Групи централізованого господарського обслуговування</t>
  </si>
  <si>
    <t>070806</t>
  </si>
  <si>
    <t>Інші заклади освіти (психолого медико педагогічна комісія)</t>
  </si>
  <si>
    <t>130102</t>
  </si>
  <si>
    <t>Проведення навчально-тренувальних зборiв i змагань</t>
  </si>
  <si>
    <t>Утримання та навчально-тренувальна робота дитячо-юнацьких спортивних шкіл</t>
  </si>
  <si>
    <t>Інші освітні програми</t>
  </si>
  <si>
    <t>110204</t>
  </si>
  <si>
    <t>Палаци i будинки культури, клуби та iншi заклади клубного типу</t>
  </si>
  <si>
    <t>110203</t>
  </si>
  <si>
    <t>Заповiдники</t>
  </si>
  <si>
    <t>130104</t>
  </si>
  <si>
    <t>Видатки на утримання центрiв з iнвалiдного спорту i реабiлiтацiйних шкiл</t>
  </si>
  <si>
    <t>130106</t>
  </si>
  <si>
    <t>Проведення заходів з нетрадіційних видів спорту і масових заходів з фізичної культури</t>
  </si>
  <si>
    <t xml:space="preserve">Субвенція з державного бюджету місцевим бюджетам на погашення заборгованості минулих років з різниці в тарифах на теплову енергію, послуги з водопостачання і водовідведення, що постачалися населенню, яка виникла у зв’язку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 </t>
  </si>
  <si>
    <t>080101</t>
  </si>
  <si>
    <t>Лікарні</t>
  </si>
  <si>
    <t>080205</t>
  </si>
  <si>
    <t>Санаторії для дітей та підлітків (нетуберкульозні)</t>
  </si>
  <si>
    <t>080207</t>
  </si>
  <si>
    <t>Будинки дитини</t>
  </si>
  <si>
    <t>080208</t>
  </si>
  <si>
    <t>Станції переливання крові</t>
  </si>
  <si>
    <t>080400</t>
  </si>
  <si>
    <t>Спеціалізовані поліклініки (в тому числі диспансери,які не мають ліжкового фонду)</t>
  </si>
  <si>
    <t>080704</t>
  </si>
  <si>
    <t>Центри здоров‘я і заходи у сфері санітарної освіти</t>
  </si>
  <si>
    <t>081001</t>
  </si>
  <si>
    <t>Медико-соціальні експертні комісії</t>
  </si>
  <si>
    <t>081003</t>
  </si>
  <si>
    <t>Служба технічного нагляду за будівництвом та капітальним ремонтом</t>
  </si>
  <si>
    <t>Медична бібліотека</t>
  </si>
  <si>
    <t>080204</t>
  </si>
  <si>
    <t>Санаторії для хворих туберкульозом</t>
  </si>
  <si>
    <t>070702</t>
  </si>
  <si>
    <t>Інші заклади і заходи післядипломної освіти (обласні курси підвищення кваліфікації середніх медпрацівників)</t>
  </si>
  <si>
    <t>Проведення виборів народних депутатів Автономної Республіки Крим, місцевих рад та сільських, селищних, міських голів</t>
  </si>
  <si>
    <t xml:space="preserve">Інші видатки на соціальний захист населення, в т.ч. </t>
  </si>
  <si>
    <t xml:space="preserve">- проведення доплати до пенсій </t>
  </si>
  <si>
    <t>- надання грошових допомог - всього</t>
  </si>
  <si>
    <t>Служба у справах неповнолітніх облдержадміністрації</t>
  </si>
  <si>
    <t>200</t>
  </si>
  <si>
    <t>Головне управління агропромислового розвитку облдержадміністрації</t>
  </si>
  <si>
    <t>160903</t>
  </si>
  <si>
    <t>Програми в галузі сільського господарства, лісового господарства, рибальства та мисливства</t>
  </si>
  <si>
    <t>програма "Льон Рівненщини" на 2005-2010 роки</t>
  </si>
  <si>
    <t>160000</t>
  </si>
  <si>
    <t>Сільське і лісове господарство, рибне господарство та мисливство</t>
  </si>
  <si>
    <t>091103</t>
  </si>
  <si>
    <t>Соціальні програми i заходи державних органiв у справах молоді</t>
  </si>
  <si>
    <t xml:space="preserve">Проведення заходів по енергозбереженню </t>
  </si>
  <si>
    <t>Додаткова субвенція з державного бюджету місцевим бюджетам на виплату допомоги сім"ям з дітьми, малозабезпеченим сім'ям, інвалідам з дитинства,  дітям-інвалідам та тимчасової державної допомоги дітям</t>
  </si>
  <si>
    <t>250400</t>
  </si>
  <si>
    <t>Управління житлово-комунального господарства облдержадміністрації</t>
  </si>
  <si>
    <t>250388</t>
  </si>
  <si>
    <t>Управління у справах захисту населення від наслідків аварії на ЧАЕС</t>
  </si>
  <si>
    <t>090213</t>
  </si>
  <si>
    <t>Оздоровлення громадян, які постраждали внаслідок Чорнобильської катастрофи</t>
  </si>
  <si>
    <t>072</t>
  </si>
  <si>
    <t>140</t>
  </si>
  <si>
    <t>250404</t>
  </si>
  <si>
    <t>Утримання  робочої групи редколегії по підготовці і виданню Книги Пам"яті Рівненської області</t>
  </si>
  <si>
    <t>Відділ з питань преси та поліграфії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</si>
</sst>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#,##0.000"/>
    <numFmt numFmtId="185" formatCode="#,##0.0000"/>
    <numFmt numFmtId="186" formatCode="[$€-2]\ ###,000_);[Red]\([$€-2]\ ###,000\)"/>
  </numFmts>
  <fonts count="9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  <font>
      <b/>
      <i/>
      <sz val="12"/>
      <color indexed="8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b/>
      <sz val="13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5"/>
      <color indexed="8"/>
      <name val="Times New Roman Cyr"/>
      <family val="1"/>
    </font>
    <font>
      <sz val="14"/>
      <color indexed="8"/>
      <name val="Times New Roman Cyr"/>
      <family val="1"/>
    </font>
    <font>
      <sz val="15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7"/>
      <color indexed="8"/>
      <name val="Times New Roman CYR"/>
      <family val="1"/>
    </font>
    <font>
      <b/>
      <sz val="10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sz val="12"/>
      <name val="Times New Roman Cyr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0"/>
    </font>
    <font>
      <i/>
      <sz val="10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right" vertical="top" wrapText="1"/>
      <protection locked="0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Border="1" applyAlignment="1">
      <alignment horizontal="center" vertical="top" wrapText="1"/>
    </xf>
    <xf numFmtId="3" fontId="12" fillId="0" borderId="14" xfId="0" applyNumberFormat="1" applyFont="1" applyFill="1" applyBorder="1" applyAlignment="1">
      <alignment horizontal="center" vertical="top"/>
    </xf>
    <xf numFmtId="3" fontId="11" fillId="0" borderId="14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right" wrapText="1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1" fillId="0" borderId="14" xfId="0" applyNumberFormat="1" applyFont="1" applyFill="1" applyBorder="1" applyAlignment="1">
      <alignment horizontal="center" vertical="top" wrapText="1"/>
    </xf>
    <xf numFmtId="0" fontId="16" fillId="35" borderId="0" xfId="0" applyFont="1" applyFill="1" applyAlignment="1">
      <alignment/>
    </xf>
    <xf numFmtId="49" fontId="15" fillId="35" borderId="21" xfId="0" applyNumberFormat="1" applyFont="1" applyFill="1" applyBorder="1" applyAlignment="1">
      <alignment vertical="top" wrapText="1"/>
    </xf>
    <xf numFmtId="3" fontId="23" fillId="35" borderId="16" xfId="0" applyNumberFormat="1" applyFont="1" applyFill="1" applyBorder="1" applyAlignment="1">
      <alignment horizontal="center" vertical="top" wrapText="1"/>
    </xf>
    <xf numFmtId="3" fontId="23" fillId="35" borderId="14" xfId="0" applyNumberFormat="1" applyFont="1" applyFill="1" applyBorder="1" applyAlignment="1">
      <alignment horizontal="center" vertical="top" wrapText="1"/>
    </xf>
    <xf numFmtId="3" fontId="23" fillId="35" borderId="15" xfId="0" applyNumberFormat="1" applyFont="1" applyFill="1" applyBorder="1" applyAlignment="1">
      <alignment horizontal="center" vertical="top" wrapText="1"/>
    </xf>
    <xf numFmtId="49" fontId="15" fillId="35" borderId="21" xfId="0" applyNumberFormat="1" applyFont="1" applyFill="1" applyBorder="1" applyAlignment="1" applyProtection="1">
      <alignment vertical="top" wrapText="1"/>
      <protection locked="0"/>
    </xf>
    <xf numFmtId="3" fontId="23" fillId="35" borderId="22" xfId="0" applyNumberFormat="1" applyFont="1" applyFill="1" applyBorder="1" applyAlignment="1">
      <alignment horizontal="center" vertical="top" wrapText="1"/>
    </xf>
    <xf numFmtId="49" fontId="25" fillId="35" borderId="12" xfId="0" applyNumberFormat="1" applyFont="1" applyFill="1" applyBorder="1" applyAlignment="1" applyProtection="1">
      <alignment horizontal="center" vertical="top" wrapText="1"/>
      <protection locked="0"/>
    </xf>
    <xf numFmtId="49" fontId="24" fillId="35" borderId="23" xfId="42" applyNumberFormat="1" applyFont="1" applyFill="1" applyBorder="1" applyAlignment="1" applyProtection="1">
      <alignment vertical="top" wrapText="1"/>
      <protection locked="0"/>
    </xf>
    <xf numFmtId="0" fontId="17" fillId="34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26" fillId="36" borderId="26" xfId="0" applyNumberFormat="1" applyFont="1" applyFill="1" applyBorder="1" applyAlignment="1">
      <alignment horizontal="center" vertical="top"/>
    </xf>
    <xf numFmtId="3" fontId="26" fillId="36" borderId="27" xfId="0" applyNumberFormat="1" applyFont="1" applyFill="1" applyBorder="1" applyAlignment="1">
      <alignment horizontal="center" vertical="top"/>
    </xf>
    <xf numFmtId="3" fontId="1" fillId="0" borderId="0" xfId="0" applyNumberFormat="1" applyFont="1" applyAlignment="1">
      <alignment horizontal="left" vertical="center"/>
    </xf>
    <xf numFmtId="3" fontId="11" fillId="36" borderId="28" xfId="0" applyNumberFormat="1" applyFont="1" applyFill="1" applyBorder="1" applyAlignment="1">
      <alignment horizontal="center" vertical="top" wrapText="1"/>
    </xf>
    <xf numFmtId="3" fontId="24" fillId="35" borderId="29" xfId="0" applyNumberFormat="1" applyFont="1" applyFill="1" applyBorder="1" applyAlignment="1">
      <alignment horizontal="center" vertical="top" wrapText="1"/>
    </xf>
    <xf numFmtId="49" fontId="27" fillId="35" borderId="23" xfId="0" applyNumberFormat="1" applyFont="1" applyFill="1" applyBorder="1" applyAlignment="1">
      <alignment vertical="top" wrapText="1"/>
    </xf>
    <xf numFmtId="49" fontId="13" fillId="35" borderId="30" xfId="0" applyNumberFormat="1" applyFont="1" applyFill="1" applyBorder="1" applyAlignment="1">
      <alignment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49" fontId="13" fillId="36" borderId="14" xfId="0" applyNumberFormat="1" applyFont="1" applyFill="1" applyBorder="1" applyAlignment="1">
      <alignment vertical="top" wrapText="1"/>
    </xf>
    <xf numFmtId="3" fontId="13" fillId="36" borderId="14" xfId="0" applyNumberFormat="1" applyFont="1" applyFill="1" applyBorder="1" applyAlignment="1">
      <alignment horizontal="center" vertical="top" wrapText="1"/>
    </xf>
    <xf numFmtId="3" fontId="12" fillId="35" borderId="14" xfId="0" applyNumberFormat="1" applyFont="1" applyFill="1" applyBorder="1" applyAlignment="1">
      <alignment horizontal="center" vertical="top" wrapText="1"/>
    </xf>
    <xf numFmtId="49" fontId="22" fillId="0" borderId="21" xfId="0" applyNumberFormat="1" applyFont="1" applyFill="1" applyBorder="1" applyAlignment="1">
      <alignment vertical="top" wrapText="1"/>
    </xf>
    <xf numFmtId="3" fontId="24" fillId="35" borderId="26" xfId="0" applyNumberFormat="1" applyFont="1" applyFill="1" applyBorder="1" applyAlignment="1">
      <alignment horizontal="center" vertical="top" wrapText="1"/>
    </xf>
    <xf numFmtId="3" fontId="24" fillId="35" borderId="27" xfId="0" applyNumberFormat="1" applyFont="1" applyFill="1" applyBorder="1" applyAlignment="1">
      <alignment horizontal="center" vertical="top" wrapText="1"/>
    </xf>
    <xf numFmtId="49" fontId="0" fillId="0" borderId="25" xfId="0" applyNumberFormat="1" applyBorder="1" applyAlignment="1" applyProtection="1">
      <alignment vertical="top"/>
      <protection locked="0"/>
    </xf>
    <xf numFmtId="3" fontId="1" fillId="0" borderId="31" xfId="0" applyNumberFormat="1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8" xfId="0" applyNumberFormat="1" applyBorder="1" applyAlignment="1" applyProtection="1">
      <alignment vertical="top"/>
      <protection locked="0"/>
    </xf>
    <xf numFmtId="175" fontId="1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49" fontId="13" fillId="36" borderId="30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 applyProtection="1">
      <alignment vertical="top"/>
      <protection locked="0"/>
    </xf>
    <xf numFmtId="0" fontId="1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3" fillId="0" borderId="34" xfId="0" applyFont="1" applyBorder="1" applyAlignment="1">
      <alignment horizontal="center" vertical="center" wrapText="1"/>
    </xf>
    <xf numFmtId="49" fontId="34" fillId="0" borderId="34" xfId="0" applyNumberFormat="1" applyFont="1" applyBorder="1" applyAlignment="1">
      <alignment horizontal="center" vertical="center" wrapText="1"/>
    </xf>
    <xf numFmtId="3" fontId="36" fillId="0" borderId="14" xfId="0" applyNumberFormat="1" applyFont="1" applyBorder="1" applyAlignment="1">
      <alignment horizontal="right" vertical="top" wrapText="1"/>
    </xf>
    <xf numFmtId="3" fontId="36" fillId="0" borderId="15" xfId="0" applyNumberFormat="1" applyFont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3" fontId="36" fillId="0" borderId="35" xfId="0" applyNumberFormat="1" applyFont="1" applyBorder="1" applyAlignment="1">
      <alignment horizontal="right" vertical="top" wrapText="1"/>
    </xf>
    <xf numFmtId="3" fontId="38" fillId="0" borderId="35" xfId="0" applyNumberFormat="1" applyFont="1" applyBorder="1" applyAlignment="1">
      <alignment horizontal="right" vertical="top" wrapText="1"/>
    </xf>
    <xf numFmtId="3" fontId="36" fillId="0" borderId="15" xfId="0" applyNumberFormat="1" applyFont="1" applyBorder="1" applyAlignment="1">
      <alignment horizontal="right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Border="1" applyAlignment="1">
      <alignment horizontal="center" vertical="top" wrapText="1"/>
    </xf>
    <xf numFmtId="49" fontId="40" fillId="0" borderId="0" xfId="0" applyNumberFormat="1" applyFont="1" applyFill="1" applyBorder="1" applyAlignment="1" applyProtection="1">
      <alignment vertical="top" wrapText="1"/>
      <protection locked="0"/>
    </xf>
    <xf numFmtId="175" fontId="40" fillId="0" borderId="0" xfId="0" applyNumberFormat="1" applyFont="1" applyFill="1" applyBorder="1" applyAlignment="1">
      <alignment horizontal="right" wrapText="1"/>
    </xf>
    <xf numFmtId="49" fontId="41" fillId="0" borderId="0" xfId="0" applyNumberFormat="1" applyFont="1" applyFill="1" applyBorder="1" applyAlignment="1" applyProtection="1">
      <alignment horizontal="left" vertical="top" wrapText="1"/>
      <protection locked="0"/>
    </xf>
    <xf numFmtId="175" fontId="41" fillId="0" borderId="0" xfId="0" applyNumberFormat="1" applyFont="1" applyFill="1" applyBorder="1" applyAlignment="1">
      <alignment horizontal="right" wrapText="1"/>
    </xf>
    <xf numFmtId="49" fontId="41" fillId="0" borderId="0" xfId="0" applyNumberFormat="1" applyFont="1" applyFill="1" applyBorder="1" applyAlignment="1" applyProtection="1">
      <alignment horizontal="right" vertical="top" wrapText="1"/>
      <protection locked="0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 applyProtection="1">
      <alignment vertical="top" wrapText="1"/>
      <protection/>
    </xf>
    <xf numFmtId="175" fontId="30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 applyProtection="1">
      <alignment horizontal="center" vertical="top" wrapText="1"/>
      <protection/>
    </xf>
    <xf numFmtId="49" fontId="14" fillId="0" borderId="0" xfId="0" applyNumberFormat="1" applyFont="1" applyBorder="1" applyAlignment="1" applyProtection="1">
      <alignment vertical="top" wrapText="1"/>
      <protection locked="0"/>
    </xf>
    <xf numFmtId="49" fontId="42" fillId="0" borderId="0" xfId="0" applyNumberFormat="1" applyFont="1" applyBorder="1" applyAlignment="1" applyProtection="1">
      <alignment vertical="top" wrapText="1"/>
      <protection locked="0"/>
    </xf>
    <xf numFmtId="0" fontId="43" fillId="0" borderId="0" xfId="0" applyFont="1" applyBorder="1" applyAlignment="1">
      <alignment horizontal="center" vertical="top" wrapText="1"/>
    </xf>
    <xf numFmtId="49" fontId="44" fillId="0" borderId="0" xfId="42" applyNumberFormat="1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wrapText="1"/>
    </xf>
    <xf numFmtId="49" fontId="44" fillId="0" borderId="0" xfId="42" applyNumberFormat="1" applyFont="1" applyBorder="1" applyAlignment="1" applyProtection="1">
      <alignment vertical="top"/>
      <protection locked="0"/>
    </xf>
    <xf numFmtId="3" fontId="13" fillId="36" borderId="16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3" fillId="36" borderId="36" xfId="0" applyNumberFormat="1" applyFont="1" applyFill="1" applyBorder="1" applyAlignment="1">
      <alignment horizontal="center" vertical="top" wrapText="1"/>
    </xf>
    <xf numFmtId="49" fontId="10" fillId="36" borderId="37" xfId="0" applyNumberFormat="1" applyFont="1" applyFill="1" applyBorder="1" applyAlignment="1">
      <alignment horizontal="center" vertical="top" wrapText="1"/>
    </xf>
    <xf numFmtId="49" fontId="10" fillId="36" borderId="36" xfId="0" applyNumberFormat="1" applyFont="1" applyFill="1" applyBorder="1" applyAlignment="1">
      <alignment horizontal="center" vertical="top" wrapText="1"/>
    </xf>
    <xf numFmtId="49" fontId="26" fillId="36" borderId="12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center" wrapText="1"/>
    </xf>
    <xf numFmtId="3" fontId="11" fillId="36" borderId="16" xfId="0" applyNumberFormat="1" applyFont="1" applyFill="1" applyBorder="1" applyAlignment="1">
      <alignment horizontal="center" vertical="top"/>
    </xf>
    <xf numFmtId="3" fontId="11" fillId="36" borderId="22" xfId="0" applyNumberFormat="1" applyFont="1" applyFill="1" applyBorder="1" applyAlignment="1">
      <alignment horizontal="center" vertical="top"/>
    </xf>
    <xf numFmtId="3" fontId="26" fillId="36" borderId="29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 wrapText="1"/>
    </xf>
    <xf numFmtId="49" fontId="10" fillId="36" borderId="21" xfId="0" applyNumberFormat="1" applyFont="1" applyFill="1" applyBorder="1" applyAlignment="1">
      <alignment vertical="top" wrapText="1"/>
    </xf>
    <xf numFmtId="49" fontId="10" fillId="36" borderId="30" xfId="0" applyNumberFormat="1" applyFont="1" applyFill="1" applyBorder="1" applyAlignment="1">
      <alignment vertical="top" wrapText="1"/>
    </xf>
    <xf numFmtId="49" fontId="26" fillId="36" borderId="23" xfId="0" applyNumberFormat="1" applyFont="1" applyFill="1" applyBorder="1" applyAlignment="1">
      <alignment horizontal="center" vertical="top" wrapText="1"/>
    </xf>
    <xf numFmtId="3" fontId="24" fillId="35" borderId="11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top"/>
    </xf>
    <xf numFmtId="3" fontId="12" fillId="0" borderId="16" xfId="0" applyNumberFormat="1" applyFont="1" applyFill="1" applyBorder="1" applyAlignment="1">
      <alignment horizontal="center" vertical="top"/>
    </xf>
    <xf numFmtId="49" fontId="45" fillId="0" borderId="21" xfId="0" applyNumberFormat="1" applyFont="1" applyBorder="1" applyAlignment="1" applyProtection="1">
      <alignment vertical="top" wrapText="1"/>
      <protection locked="0"/>
    </xf>
    <xf numFmtId="49" fontId="29" fillId="0" borderId="38" xfId="0" applyNumberFormat="1" applyFont="1" applyFill="1" applyBorder="1" applyAlignment="1">
      <alignment horizontal="center" vertical="top" wrapText="1"/>
    </xf>
    <xf numFmtId="3" fontId="12" fillId="34" borderId="16" xfId="0" applyNumberFormat="1" applyFont="1" applyFill="1" applyBorder="1" applyAlignment="1">
      <alignment horizontal="center" vertical="top"/>
    </xf>
    <xf numFmtId="3" fontId="12" fillId="0" borderId="16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center" wrapText="1"/>
    </xf>
    <xf numFmtId="49" fontId="29" fillId="0" borderId="36" xfId="0" applyNumberFormat="1" applyFont="1" applyFill="1" applyBorder="1" applyAlignment="1">
      <alignment horizontal="center" vertical="top" wrapText="1"/>
    </xf>
    <xf numFmtId="0" fontId="0" fillId="0" borderId="21" xfId="0" applyNumberFormat="1" applyBorder="1" applyAlignment="1">
      <alignment vertical="center" wrapText="1"/>
    </xf>
    <xf numFmtId="49" fontId="47" fillId="0" borderId="36" xfId="0" applyNumberFormat="1" applyFont="1" applyFill="1" applyBorder="1" applyAlignment="1">
      <alignment horizontal="center" vertical="top" wrapText="1"/>
    </xf>
    <xf numFmtId="49" fontId="48" fillId="0" borderId="37" xfId="0" applyNumberFormat="1" applyFont="1" applyFill="1" applyBorder="1" applyAlignment="1">
      <alignment horizontal="center" vertical="top" wrapText="1"/>
    </xf>
    <xf numFmtId="49" fontId="23" fillId="35" borderId="37" xfId="0" applyNumberFormat="1" applyFont="1" applyFill="1" applyBorder="1" applyAlignment="1">
      <alignment horizontal="center" vertical="top" wrapText="1"/>
    </xf>
    <xf numFmtId="49" fontId="10" fillId="35" borderId="37" xfId="0" applyNumberFormat="1" applyFont="1" applyFill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horizontal="center" vertical="top" wrapText="1"/>
    </xf>
    <xf numFmtId="3" fontId="11" fillId="35" borderId="14" xfId="0" applyNumberFormat="1" applyFont="1" applyFill="1" applyBorder="1" applyAlignment="1">
      <alignment horizontal="center" vertical="top" wrapText="1"/>
    </xf>
    <xf numFmtId="49" fontId="22" fillId="0" borderId="21" xfId="0" applyNumberFormat="1" applyFont="1" applyFill="1" applyBorder="1" applyAlignment="1">
      <alignment vertical="top" wrapText="1"/>
    </xf>
    <xf numFmtId="4" fontId="12" fillId="0" borderId="14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top" wrapText="1"/>
    </xf>
    <xf numFmtId="4" fontId="11" fillId="35" borderId="14" xfId="0" applyNumberFormat="1" applyFont="1" applyFill="1" applyBorder="1" applyAlignment="1">
      <alignment horizontal="center" vertical="top" wrapText="1"/>
    </xf>
    <xf numFmtId="4" fontId="23" fillId="35" borderId="16" xfId="0" applyNumberFormat="1" applyFont="1" applyFill="1" applyBorder="1" applyAlignment="1">
      <alignment horizontal="center" vertical="top" wrapText="1"/>
    </xf>
    <xf numFmtId="49" fontId="13" fillId="36" borderId="16" xfId="0" applyNumberFormat="1" applyFont="1" applyFill="1" applyBorder="1" applyAlignment="1">
      <alignment vertical="top" wrapText="1"/>
    </xf>
    <xf numFmtId="4" fontId="13" fillId="36" borderId="16" xfId="0" applyNumberFormat="1" applyFont="1" applyFill="1" applyBorder="1" applyAlignment="1">
      <alignment horizontal="center" vertical="top" wrapText="1"/>
    </xf>
    <xf numFmtId="49" fontId="28" fillId="36" borderId="12" xfId="0" applyNumberFormat="1" applyFont="1" applyFill="1" applyBorder="1" applyAlignment="1">
      <alignment horizontal="center" vertical="top" wrapText="1"/>
    </xf>
    <xf numFmtId="49" fontId="28" fillId="36" borderId="23" xfId="0" applyNumberFormat="1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horizontal="center" vertical="top" wrapText="1"/>
    </xf>
    <xf numFmtId="3" fontId="9" fillId="36" borderId="29" xfId="0" applyNumberFormat="1" applyFont="1" applyFill="1" applyBorder="1" applyAlignment="1">
      <alignment horizontal="center" vertical="top"/>
    </xf>
    <xf numFmtId="4" fontId="23" fillId="35" borderId="15" xfId="0" applyNumberFormat="1" applyFont="1" applyFill="1" applyBorder="1" applyAlignment="1">
      <alignment horizontal="center" vertical="top" wrapText="1"/>
    </xf>
    <xf numFmtId="49" fontId="23" fillId="35" borderId="37" xfId="0" applyNumberFormat="1" applyFont="1" applyFill="1" applyBorder="1" applyAlignment="1">
      <alignment horizontal="center" vertical="top" wrapText="1"/>
    </xf>
    <xf numFmtId="49" fontId="47" fillId="0" borderId="37" xfId="0" applyNumberFormat="1" applyFont="1" applyBorder="1" applyAlignment="1">
      <alignment horizontal="center" vertical="top" wrapText="1"/>
    </xf>
    <xf numFmtId="49" fontId="48" fillId="35" borderId="12" xfId="0" applyNumberFormat="1" applyFont="1" applyFill="1" applyBorder="1" applyAlignment="1">
      <alignment horizontal="center" vertical="top" wrapText="1"/>
    </xf>
    <xf numFmtId="49" fontId="48" fillId="35" borderId="36" xfId="0" applyNumberFormat="1" applyFont="1" applyFill="1" applyBorder="1" applyAlignment="1">
      <alignment horizontal="center" vertical="top" wrapText="1"/>
    </xf>
    <xf numFmtId="3" fontId="12" fillId="0" borderId="16" xfId="0" applyNumberFormat="1" applyFont="1" applyFill="1" applyBorder="1" applyAlignment="1">
      <alignment horizontal="center" vertical="top" wrapText="1"/>
    </xf>
    <xf numFmtId="49" fontId="47" fillId="0" borderId="37" xfId="0" applyNumberFormat="1" applyFont="1" applyFill="1" applyBorder="1" applyAlignment="1">
      <alignment horizontal="center" vertical="top" wrapText="1"/>
    </xf>
    <xf numFmtId="49" fontId="13" fillId="36" borderId="37" xfId="0" applyNumberFormat="1" applyFont="1" applyFill="1" applyBorder="1" applyAlignment="1">
      <alignment horizontal="center" vertical="top" wrapText="1"/>
    </xf>
    <xf numFmtId="49" fontId="13" fillId="36" borderId="21" xfId="0" applyNumberFormat="1" applyFont="1" applyFill="1" applyBorder="1" applyAlignment="1">
      <alignment vertical="top" wrapText="1"/>
    </xf>
    <xf numFmtId="49" fontId="18" fillId="0" borderId="39" xfId="0" applyNumberFormat="1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3" fontId="11" fillId="35" borderId="15" xfId="0" applyNumberFormat="1" applyFont="1" applyFill="1" applyBorder="1" applyAlignment="1">
      <alignment horizontal="center" vertical="top" wrapText="1"/>
    </xf>
    <xf numFmtId="3" fontId="23" fillId="35" borderId="43" xfId="0" applyNumberFormat="1" applyFont="1" applyFill="1" applyBorder="1" applyAlignment="1">
      <alignment horizontal="center" vertical="top" wrapText="1"/>
    </xf>
    <xf numFmtId="3" fontId="11" fillId="35" borderId="15" xfId="0" applyNumberFormat="1" applyFont="1" applyFill="1" applyBorder="1" applyAlignment="1">
      <alignment horizontal="center" vertical="top" wrapText="1"/>
    </xf>
    <xf numFmtId="3" fontId="11" fillId="36" borderId="14" xfId="0" applyNumberFormat="1" applyFont="1" applyFill="1" applyBorder="1" applyAlignment="1">
      <alignment horizontal="center" vertical="top" wrapText="1"/>
    </xf>
    <xf numFmtId="3" fontId="11" fillId="36" borderId="14" xfId="0" applyNumberFormat="1" applyFont="1" applyFill="1" applyBorder="1" applyAlignment="1">
      <alignment horizontal="center" vertical="top"/>
    </xf>
    <xf numFmtId="3" fontId="11" fillId="36" borderId="15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49" fontId="22" fillId="0" borderId="21" xfId="0" applyNumberFormat="1" applyFont="1" applyBorder="1" applyAlignment="1" applyProtection="1">
      <alignment vertical="top" wrapText="1"/>
      <protection locked="0"/>
    </xf>
    <xf numFmtId="49" fontId="0" fillId="0" borderId="21" xfId="0" applyNumberFormat="1" applyFont="1" applyBorder="1" applyAlignment="1" applyProtection="1">
      <alignment vertical="top" wrapText="1"/>
      <protection locked="0"/>
    </xf>
    <xf numFmtId="49" fontId="22" fillId="0" borderId="21" xfId="0" applyNumberFormat="1" applyFont="1" applyBorder="1" applyAlignment="1" applyProtection="1">
      <alignment vertical="top" wrapText="1"/>
      <protection/>
    </xf>
    <xf numFmtId="49" fontId="22" fillId="0" borderId="37" xfId="0" applyNumberFormat="1" applyFont="1" applyFill="1" applyBorder="1" applyAlignment="1">
      <alignment horizontal="center" vertical="top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18" fillId="0" borderId="37" xfId="0" applyNumberFormat="1" applyFont="1" applyBorder="1" applyAlignment="1">
      <alignment horizontal="center" vertical="top" wrapText="1"/>
    </xf>
    <xf numFmtId="49" fontId="50" fillId="0" borderId="21" xfId="0" applyNumberFormat="1" applyFont="1" applyBorder="1" applyAlignment="1" applyProtection="1">
      <alignment vertical="top" wrapText="1"/>
      <protection locked="0"/>
    </xf>
    <xf numFmtId="49" fontId="29" fillId="0" borderId="21" xfId="0" applyNumberFormat="1" applyFont="1" applyFill="1" applyBorder="1" applyAlignment="1">
      <alignment vertical="top" wrapText="1"/>
    </xf>
    <xf numFmtId="49" fontId="18" fillId="34" borderId="21" xfId="0" applyNumberFormat="1" applyFont="1" applyFill="1" applyBorder="1" applyAlignment="1" applyProtection="1">
      <alignment vertical="top" wrapText="1"/>
      <protection locked="0"/>
    </xf>
    <xf numFmtId="4" fontId="12" fillId="0" borderId="14" xfId="0" applyNumberFormat="1" applyFont="1" applyFill="1" applyBorder="1" applyAlignment="1">
      <alignment horizontal="center" vertical="top"/>
    </xf>
    <xf numFmtId="3" fontId="36" fillId="0" borderId="14" xfId="0" applyNumberFormat="1" applyFont="1" applyBorder="1" applyAlignment="1">
      <alignment horizontal="right" vertical="top" wrapText="1"/>
    </xf>
    <xf numFmtId="4" fontId="11" fillId="35" borderId="15" xfId="0" applyNumberFormat="1" applyFont="1" applyFill="1" applyBorder="1" applyAlignment="1">
      <alignment horizontal="center" vertical="top" wrapText="1"/>
    </xf>
    <xf numFmtId="4" fontId="11" fillId="0" borderId="46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4" fontId="11" fillId="36" borderId="14" xfId="0" applyNumberFormat="1" applyFont="1" applyFill="1" applyBorder="1" applyAlignment="1">
      <alignment horizontal="center" vertical="top"/>
    </xf>
    <xf numFmtId="4" fontId="11" fillId="36" borderId="15" xfId="0" applyNumberFormat="1" applyFont="1" applyFill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top" wrapText="1"/>
    </xf>
    <xf numFmtId="0" fontId="37" fillId="0" borderId="47" xfId="0" applyFont="1" applyBorder="1" applyAlignment="1">
      <alignment horizontal="center" vertical="top" wrapText="1"/>
    </xf>
    <xf numFmtId="0" fontId="39" fillId="33" borderId="12" xfId="0" applyFont="1" applyFill="1" applyBorder="1" applyAlignment="1">
      <alignment horizontal="center" vertical="top" wrapText="1"/>
    </xf>
    <xf numFmtId="0" fontId="35" fillId="0" borderId="48" xfId="0" applyFont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right" vertical="top" wrapText="1"/>
    </xf>
    <xf numFmtId="3" fontId="36" fillId="0" borderId="49" xfId="0" applyNumberFormat="1" applyFont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49" fontId="21" fillId="0" borderId="21" xfId="0" applyNumberFormat="1" applyFont="1" applyBorder="1" applyAlignment="1" applyProtection="1">
      <alignment vertical="top" wrapText="1"/>
      <protection locked="0"/>
    </xf>
    <xf numFmtId="49" fontId="40" fillId="33" borderId="23" xfId="0" applyNumberFormat="1" applyFont="1" applyFill="1" applyBorder="1" applyAlignment="1" applyProtection="1">
      <alignment vertical="top" wrapText="1"/>
      <protection locked="0"/>
    </xf>
    <xf numFmtId="49" fontId="22" fillId="0" borderId="30" xfId="0" applyNumberFormat="1" applyFont="1" applyFill="1" applyBorder="1" applyAlignment="1">
      <alignment vertical="top" wrapText="1"/>
    </xf>
    <xf numFmtId="0" fontId="37" fillId="0" borderId="37" xfId="0" applyFont="1" applyBorder="1" applyAlignment="1">
      <alignment horizontal="center" vertical="top" wrapText="1"/>
    </xf>
    <xf numFmtId="0" fontId="35" fillId="0" borderId="21" xfId="0" applyNumberFormat="1" applyFont="1" applyBorder="1" applyAlignment="1" applyProtection="1">
      <alignment vertical="top" wrapText="1"/>
      <protection locked="0"/>
    </xf>
    <xf numFmtId="3" fontId="38" fillId="0" borderId="14" xfId="0" applyNumberFormat="1" applyFont="1" applyBorder="1" applyAlignment="1">
      <alignment horizontal="right"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vertical="top" wrapText="1"/>
    </xf>
    <xf numFmtId="49" fontId="0" fillId="0" borderId="21" xfId="0" applyNumberFormat="1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horizontal="center" vertical="top"/>
    </xf>
    <xf numFmtId="49" fontId="0" fillId="0" borderId="21" xfId="0" applyNumberFormat="1" applyFont="1" applyBorder="1" applyAlignment="1" applyProtection="1">
      <alignment vertical="top" wrapText="1"/>
      <protection locked="0"/>
    </xf>
    <xf numFmtId="49" fontId="49" fillId="34" borderId="36" xfId="0" applyNumberFormat="1" applyFont="1" applyFill="1" applyBorder="1" applyAlignment="1">
      <alignment horizontal="center" vertical="top" wrapText="1"/>
    </xf>
    <xf numFmtId="49" fontId="49" fillId="0" borderId="36" xfId="0" applyNumberFormat="1" applyFont="1" applyBorder="1" applyAlignment="1">
      <alignment horizontal="center" vertical="top" wrapText="1"/>
    </xf>
    <xf numFmtId="49" fontId="48" fillId="0" borderId="36" xfId="0" applyNumberFormat="1" applyFont="1" applyFill="1" applyBorder="1" applyAlignment="1">
      <alignment horizontal="center" vertical="top" wrapText="1"/>
    </xf>
    <xf numFmtId="49" fontId="13" fillId="36" borderId="24" xfId="0" applyNumberFormat="1" applyFont="1" applyFill="1" applyBorder="1" applyAlignment="1">
      <alignment vertical="top" wrapText="1"/>
    </xf>
    <xf numFmtId="49" fontId="0" fillId="0" borderId="50" xfId="0" applyNumberFormat="1" applyFont="1" applyFill="1" applyBorder="1" applyAlignment="1">
      <alignment vertical="top" wrapText="1"/>
    </xf>
    <xf numFmtId="49" fontId="13" fillId="36" borderId="39" xfId="0" applyNumberFormat="1" applyFont="1" applyFill="1" applyBorder="1" applyAlignment="1">
      <alignment horizontal="center" vertical="top" wrapText="1"/>
    </xf>
    <xf numFmtId="3" fontId="13" fillId="36" borderId="40" xfId="0" applyNumberFormat="1" applyFont="1" applyFill="1" applyBorder="1" applyAlignment="1">
      <alignment horizontal="center" vertical="top" wrapText="1"/>
    </xf>
    <xf numFmtId="3" fontId="13" fillId="36" borderId="41" xfId="0" applyNumberFormat="1" applyFont="1" applyFill="1" applyBorder="1" applyAlignment="1">
      <alignment horizontal="center" vertical="top" wrapText="1"/>
    </xf>
    <xf numFmtId="49" fontId="13" fillId="36" borderId="41" xfId="0" applyNumberFormat="1" applyFont="1" applyFill="1" applyBorder="1" applyAlignment="1">
      <alignment vertical="top" wrapText="1"/>
    </xf>
    <xf numFmtId="3" fontId="11" fillId="36" borderId="42" xfId="0" applyNumberFormat="1" applyFont="1" applyFill="1" applyBorder="1" applyAlignment="1">
      <alignment horizontal="center" vertical="top" wrapText="1"/>
    </xf>
    <xf numFmtId="3" fontId="11" fillId="36" borderId="43" xfId="0" applyNumberFormat="1" applyFont="1" applyFill="1" applyBorder="1" applyAlignment="1">
      <alignment horizontal="center" vertical="top"/>
    </xf>
    <xf numFmtId="49" fontId="49" fillId="0" borderId="36" xfId="0" applyNumberFormat="1" applyFont="1" applyFill="1" applyBorder="1" applyAlignment="1">
      <alignment horizontal="center" vertical="top" wrapText="1"/>
    </xf>
    <xf numFmtId="49" fontId="20" fillId="0" borderId="37" xfId="0" applyNumberFormat="1" applyFont="1" applyFill="1" applyBorder="1" applyAlignment="1">
      <alignment horizontal="center" vertical="top" wrapText="1"/>
    </xf>
    <xf numFmtId="49" fontId="49" fillId="34" borderId="36" xfId="0" applyNumberFormat="1" applyFont="1" applyFill="1" applyBorder="1" applyAlignment="1">
      <alignment horizontal="center" vertical="top" wrapText="1"/>
    </xf>
    <xf numFmtId="0" fontId="37" fillId="0" borderId="38" xfId="0" applyFont="1" applyBorder="1" applyAlignment="1">
      <alignment horizontal="center" vertical="top" wrapText="1"/>
    </xf>
    <xf numFmtId="3" fontId="12" fillId="0" borderId="51" xfId="0" applyNumberFormat="1" applyFont="1" applyFill="1" applyBorder="1" applyAlignment="1">
      <alignment horizontal="center" vertical="top"/>
    </xf>
    <xf numFmtId="3" fontId="11" fillId="0" borderId="51" xfId="0" applyNumberFormat="1" applyFont="1" applyFill="1" applyBorder="1" applyAlignment="1">
      <alignment horizontal="center" vertical="top" wrapText="1"/>
    </xf>
    <xf numFmtId="3" fontId="11" fillId="0" borderId="51" xfId="0" applyNumberFormat="1" applyFont="1" applyFill="1" applyBorder="1" applyAlignment="1">
      <alignment horizontal="center" vertical="top" wrapText="1"/>
    </xf>
    <xf numFmtId="3" fontId="12" fillId="0" borderId="52" xfId="0" applyNumberFormat="1" applyFont="1" applyFill="1" applyBorder="1" applyAlignment="1">
      <alignment horizontal="center" vertical="top" wrapText="1"/>
    </xf>
    <xf numFmtId="49" fontId="29" fillId="0" borderId="21" xfId="0" applyNumberFormat="1" applyFont="1" applyFill="1" applyBorder="1" applyAlignment="1">
      <alignment horizontal="center" vertical="top" wrapText="1"/>
    </xf>
    <xf numFmtId="49" fontId="29" fillId="0" borderId="53" xfId="0" applyNumberFormat="1" applyFont="1" applyFill="1" applyBorder="1" applyAlignment="1">
      <alignment vertical="top" wrapText="1"/>
    </xf>
    <xf numFmtId="3" fontId="36" fillId="0" borderId="54" xfId="0" applyNumberFormat="1" applyFont="1" applyBorder="1" applyAlignment="1">
      <alignment horizontal="right" vertical="top" wrapText="1"/>
    </xf>
    <xf numFmtId="3" fontId="40" fillId="33" borderId="55" xfId="0" applyNumberFormat="1" applyFont="1" applyFill="1" applyBorder="1" applyAlignment="1">
      <alignment horizontal="right" vertical="top" wrapText="1"/>
    </xf>
    <xf numFmtId="3" fontId="40" fillId="33" borderId="11" xfId="0" applyNumberFormat="1" applyFont="1" applyFill="1" applyBorder="1" applyAlignment="1">
      <alignment horizontal="right" vertical="top" wrapText="1"/>
    </xf>
    <xf numFmtId="3" fontId="36" fillId="0" borderId="43" xfId="0" applyNumberFormat="1" applyFont="1" applyBorder="1" applyAlignment="1">
      <alignment horizontal="right" vertical="top" wrapText="1"/>
    </xf>
    <xf numFmtId="3" fontId="12" fillId="0" borderId="52" xfId="0" applyNumberFormat="1" applyFont="1" applyFill="1" applyBorder="1" applyAlignment="1">
      <alignment horizontal="center" vertical="top"/>
    </xf>
    <xf numFmtId="49" fontId="29" fillId="0" borderId="37" xfId="0" applyNumberFormat="1" applyFont="1" applyFill="1" applyBorder="1" applyAlignment="1">
      <alignment horizontal="center" vertical="top" wrapText="1"/>
    </xf>
    <xf numFmtId="3" fontId="11" fillId="0" borderId="52" xfId="0" applyNumberFormat="1" applyFont="1" applyFill="1" applyBorder="1" applyAlignment="1">
      <alignment horizontal="center" vertical="top" wrapText="1"/>
    </xf>
    <xf numFmtId="3" fontId="12" fillId="0" borderId="52" xfId="0" applyNumberFormat="1" applyFont="1" applyFill="1" applyBorder="1" applyAlignment="1">
      <alignment horizontal="center" vertical="top" wrapText="1"/>
    </xf>
    <xf numFmtId="3" fontId="12" fillId="34" borderId="52" xfId="0" applyNumberFormat="1" applyFont="1" applyFill="1" applyBorder="1" applyAlignment="1">
      <alignment horizontal="center" vertical="top"/>
    </xf>
    <xf numFmtId="3" fontId="12" fillId="0" borderId="52" xfId="0" applyNumberFormat="1" applyFont="1" applyFill="1" applyBorder="1" applyAlignment="1">
      <alignment horizontal="center" vertical="top" wrapText="1"/>
    </xf>
    <xf numFmtId="0" fontId="37" fillId="0" borderId="37" xfId="0" applyFont="1" applyBorder="1" applyAlignment="1">
      <alignment horizontal="center" vertical="top" wrapText="1"/>
    </xf>
    <xf numFmtId="49" fontId="41" fillId="0" borderId="0" xfId="0" applyNumberFormat="1" applyFont="1" applyFill="1" applyBorder="1" applyAlignment="1" applyProtection="1">
      <alignment horizontal="left" vertical="top" wrapText="1"/>
      <protection locked="0"/>
    </xf>
    <xf numFmtId="0" fontId="33" fillId="0" borderId="5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49" fontId="32" fillId="0" borderId="60" xfId="0" applyNumberFormat="1" applyFont="1" applyBorder="1" applyAlignment="1">
      <alignment horizontal="center" vertical="center"/>
    </xf>
    <xf numFmtId="49" fontId="32" fillId="0" borderId="61" xfId="0" applyNumberFormat="1" applyFont="1" applyBorder="1" applyAlignment="1">
      <alignment horizontal="center" vertical="center"/>
    </xf>
    <xf numFmtId="49" fontId="33" fillId="0" borderId="62" xfId="0" applyNumberFormat="1" applyFont="1" applyBorder="1" applyAlignment="1">
      <alignment horizontal="center" vertical="center" wrapText="1"/>
    </xf>
    <xf numFmtId="49" fontId="33" fillId="0" borderId="63" xfId="0" applyNumberFormat="1" applyFont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65" xfId="0" applyFont="1" applyFill="1" applyBorder="1" applyAlignment="1">
      <alignment horizontal="center" vertical="center" textRotation="255"/>
    </xf>
    <xf numFmtId="0" fontId="1" fillId="0" borderId="65" xfId="0" applyFont="1" applyFill="1" applyBorder="1" applyAlignment="1">
      <alignment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right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textRotation="255"/>
    </xf>
    <xf numFmtId="0" fontId="7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76200</xdr:rowOff>
    </xdr:from>
    <xdr:to>
      <xdr:col>5</xdr:col>
      <xdr:colOff>885825</xdr:colOff>
      <xdr:row>4</xdr:row>
      <xdr:rowOff>695325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866775"/>
          <a:ext cx="73628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доходів обласного бюджету на 2006 рік</a:t>
          </a:r>
        </a:p>
      </xdr:txBody>
    </xdr:sp>
    <xdr:clientData/>
  </xdr:twoCellAnchor>
  <xdr:twoCellAnchor>
    <xdr:from>
      <xdr:col>1</xdr:col>
      <xdr:colOff>2295525</xdr:colOff>
      <xdr:row>0</xdr:row>
      <xdr:rowOff>0</xdr:rowOff>
    </xdr:from>
    <xdr:to>
      <xdr:col>5</xdr:col>
      <xdr:colOff>962025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86100" y="0"/>
          <a:ext cx="48768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2006 року
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28575</xdr:rowOff>
    </xdr:from>
    <xdr:to>
      <xdr:col>13</xdr:col>
      <xdr:colOff>676275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15700" y="28575"/>
          <a:ext cx="30956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2006 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twoCellAnchor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09650" y="1485900"/>
          <a:ext cx="1211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2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695325" y="1514475"/>
          <a:ext cx="239077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600075</xdr:colOff>
      <xdr:row>0</xdr:row>
      <xdr:rowOff>66675</xdr:rowOff>
    </xdr:from>
    <xdr:ext cx="2847975" cy="1085850"/>
    <xdr:sp>
      <xdr:nvSpPr>
        <xdr:cNvPr id="2" name="Text Box 6"/>
        <xdr:cNvSpPr txBox="1">
          <a:spLocks noChangeArrowheads="1"/>
        </xdr:cNvSpPr>
      </xdr:nvSpPr>
      <xdr:spPr>
        <a:xfrm>
          <a:off x="11763375" y="66675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 ради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___"  _____________ 2006 року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504950" y="161925"/>
          <a:ext cx="1102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1171575" y="714375"/>
          <a:ext cx="105060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 розподілу видатків обласного бюджету на 2006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81"/>
  <sheetViews>
    <sheetView zoomScale="85" zoomScaleNormal="85" zoomScaleSheetLayoutView="50" zoomScalePageLayoutView="0" workbookViewId="0" topLeftCell="A4">
      <selection activeCell="A12" sqref="A12"/>
    </sheetView>
  </sheetViews>
  <sheetFormatPr defaultColWidth="9.33203125" defaultRowHeight="12.75"/>
  <cols>
    <col min="1" max="1" width="13.83203125" style="99" customWidth="1"/>
    <col min="2" max="2" width="50.16015625" style="100" customWidth="1"/>
    <col min="3" max="3" width="20.66015625" style="101" customWidth="1"/>
    <col min="4" max="4" width="19.16015625" style="101" customWidth="1"/>
    <col min="5" max="5" width="18.66015625" style="101" customWidth="1"/>
    <col min="6" max="6" width="21.5" style="101" customWidth="1"/>
    <col min="7" max="16384" width="9.33203125" style="101" customWidth="1"/>
  </cols>
  <sheetData>
    <row r="1" ht="0.75" customHeight="1"/>
    <row r="2" spans="1:16" ht="25.5" customHeight="1">
      <c r="A2" s="102"/>
      <c r="B2" s="103"/>
      <c r="C2" s="104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8" customHeight="1">
      <c r="A3" s="102"/>
      <c r="B3" s="103"/>
      <c r="C3" s="104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2"/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69.75" customHeight="1" thickBot="1">
      <c r="A5" s="102"/>
      <c r="B5" s="103"/>
      <c r="C5" s="104"/>
      <c r="D5" s="104"/>
      <c r="E5" s="104"/>
      <c r="F5" s="106" t="s">
        <v>35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4" customHeight="1" thickBot="1">
      <c r="A6" s="276" t="s">
        <v>36</v>
      </c>
      <c r="B6" s="278" t="s">
        <v>37</v>
      </c>
      <c r="C6" s="278" t="s">
        <v>38</v>
      </c>
      <c r="D6" s="274" t="s">
        <v>39</v>
      </c>
      <c r="E6" s="275"/>
      <c r="F6" s="272" t="s">
        <v>9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63" customHeight="1" thickBot="1" thickTop="1">
      <c r="A7" s="277"/>
      <c r="B7" s="279"/>
      <c r="C7" s="279"/>
      <c r="D7" s="107" t="s">
        <v>9</v>
      </c>
      <c r="E7" s="108" t="s">
        <v>40</v>
      </c>
      <c r="F7" s="273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1" customHeight="1">
      <c r="A8" s="219">
        <v>1</v>
      </c>
      <c r="B8" s="227">
        <v>2</v>
      </c>
      <c r="C8" s="223">
        <v>3</v>
      </c>
      <c r="D8" s="204">
        <v>4</v>
      </c>
      <c r="E8" s="204">
        <v>5</v>
      </c>
      <c r="F8" s="205" t="s">
        <v>41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55.5" customHeight="1">
      <c r="A9" s="220">
        <v>40000000</v>
      </c>
      <c r="B9" s="228" t="s">
        <v>42</v>
      </c>
      <c r="C9" s="224">
        <f>C10</f>
        <v>35756713</v>
      </c>
      <c r="D9" s="224">
        <f>D10</f>
        <v>65588</v>
      </c>
      <c r="E9" s="224">
        <f>E10</f>
        <v>0</v>
      </c>
      <c r="F9" s="263">
        <f>F10</f>
        <v>35822301</v>
      </c>
      <c r="G9" s="111"/>
      <c r="H9" s="111"/>
      <c r="I9" s="111"/>
      <c r="J9" s="111"/>
      <c r="K9" s="111"/>
      <c r="L9" s="111"/>
      <c r="M9" s="111"/>
      <c r="N9" s="111"/>
      <c r="O9" s="104"/>
      <c r="P9" s="104"/>
    </row>
    <row r="10" spans="1:16" ht="37.5" customHeight="1">
      <c r="A10" s="220">
        <v>41000000</v>
      </c>
      <c r="B10" s="228" t="s">
        <v>43</v>
      </c>
      <c r="C10" s="224">
        <f>C13+C11</f>
        <v>35756713</v>
      </c>
      <c r="D10" s="109">
        <f>D13</f>
        <v>65588</v>
      </c>
      <c r="E10" s="109">
        <f>E13</f>
        <v>0</v>
      </c>
      <c r="F10" s="110">
        <f>SUM(D10,C10)</f>
        <v>35822301</v>
      </c>
      <c r="G10" s="111"/>
      <c r="H10" s="111"/>
      <c r="I10" s="111"/>
      <c r="J10" s="111"/>
      <c r="K10" s="111"/>
      <c r="L10" s="111"/>
      <c r="M10" s="111"/>
      <c r="N10" s="111"/>
      <c r="O10" s="104"/>
      <c r="P10" s="104"/>
    </row>
    <row r="11" spans="1:16" ht="23.25" customHeight="1">
      <c r="A11" s="220">
        <v>41020000</v>
      </c>
      <c r="B11" s="228" t="s">
        <v>147</v>
      </c>
      <c r="C11" s="224">
        <f>C12</f>
        <v>18143400</v>
      </c>
      <c r="D11" s="109"/>
      <c r="E11" s="109"/>
      <c r="F11" s="117">
        <f>D11+C11</f>
        <v>18143400</v>
      </c>
      <c r="G11" s="111"/>
      <c r="H11" s="111"/>
      <c r="I11" s="111"/>
      <c r="J11" s="111"/>
      <c r="K11" s="111"/>
      <c r="L11" s="111"/>
      <c r="M11" s="111"/>
      <c r="N11" s="111"/>
      <c r="O11" s="104"/>
      <c r="P11" s="104"/>
    </row>
    <row r="12" spans="1:16" ht="22.5" customHeight="1">
      <c r="A12" s="270">
        <v>41020400</v>
      </c>
      <c r="B12" s="210" t="s">
        <v>148</v>
      </c>
      <c r="C12" s="224">
        <v>18143400</v>
      </c>
      <c r="D12" s="109"/>
      <c r="E12" s="109"/>
      <c r="F12" s="117">
        <f>D12+C12</f>
        <v>18143400</v>
      </c>
      <c r="G12" s="111"/>
      <c r="H12" s="111"/>
      <c r="I12" s="111"/>
      <c r="J12" s="111"/>
      <c r="K12" s="111"/>
      <c r="L12" s="111"/>
      <c r="M12" s="111"/>
      <c r="N12" s="111"/>
      <c r="O12" s="104"/>
      <c r="P12" s="104"/>
    </row>
    <row r="13" spans="1:16" s="114" customFormat="1" ht="20.25" customHeight="1">
      <c r="A13" s="220">
        <v>41030000</v>
      </c>
      <c r="B13" s="228" t="s">
        <v>44</v>
      </c>
      <c r="C13" s="224">
        <f>C14+C19+C15+C16+C17+C18+C20</f>
        <v>17613313</v>
      </c>
      <c r="D13" s="109">
        <f>D14+D19+D15+D16+D17</f>
        <v>65588</v>
      </c>
      <c r="E13" s="109">
        <f>E14+E19+E15+E16+E17</f>
        <v>0</v>
      </c>
      <c r="F13" s="110">
        <f>F14+F19+F15+F16+F17</f>
        <v>1915601</v>
      </c>
      <c r="G13" s="112"/>
      <c r="H13" s="112"/>
      <c r="I13" s="112"/>
      <c r="J13" s="112"/>
      <c r="K13" s="112"/>
      <c r="L13" s="112"/>
      <c r="M13" s="112"/>
      <c r="N13" s="112"/>
      <c r="O13" s="113"/>
      <c r="P13" s="113"/>
    </row>
    <row r="14" spans="1:16" s="114" customFormat="1" ht="87" customHeight="1">
      <c r="A14" s="221">
        <v>41030600</v>
      </c>
      <c r="B14" s="210" t="s">
        <v>98</v>
      </c>
      <c r="C14" s="225">
        <v>31441900</v>
      </c>
      <c r="D14" s="115"/>
      <c r="E14" s="116"/>
      <c r="F14" s="117">
        <f aca="true" t="shared" si="0" ref="F14:F20">D14+C14</f>
        <v>31441900</v>
      </c>
      <c r="G14" s="112"/>
      <c r="H14" s="112"/>
      <c r="I14" s="112"/>
      <c r="J14" s="112"/>
      <c r="K14" s="112"/>
      <c r="L14" s="112"/>
      <c r="M14" s="112"/>
      <c r="N14" s="112"/>
      <c r="O14" s="113"/>
      <c r="P14" s="113"/>
    </row>
    <row r="15" spans="1:16" s="114" customFormat="1" ht="101.25" customHeight="1">
      <c r="A15" s="221">
        <v>41030800</v>
      </c>
      <c r="B15" s="210" t="s">
        <v>95</v>
      </c>
      <c r="C15" s="225">
        <v>-6452900</v>
      </c>
      <c r="D15" s="115"/>
      <c r="E15" s="116"/>
      <c r="F15" s="117">
        <f t="shared" si="0"/>
        <v>-6452900</v>
      </c>
      <c r="G15" s="112"/>
      <c r="H15" s="112"/>
      <c r="I15" s="112"/>
      <c r="J15" s="112"/>
      <c r="K15" s="112"/>
      <c r="L15" s="112"/>
      <c r="M15" s="112"/>
      <c r="N15" s="112"/>
      <c r="O15" s="113"/>
      <c r="P15" s="113"/>
    </row>
    <row r="16" spans="1:16" s="114" customFormat="1" ht="82.5" customHeight="1">
      <c r="A16" s="221">
        <v>41031000</v>
      </c>
      <c r="B16" s="210" t="s">
        <v>97</v>
      </c>
      <c r="C16" s="225">
        <v>-23326700</v>
      </c>
      <c r="D16" s="115"/>
      <c r="E16" s="116"/>
      <c r="F16" s="117">
        <f t="shared" si="0"/>
        <v>-23326700</v>
      </c>
      <c r="G16" s="112"/>
      <c r="H16" s="112"/>
      <c r="I16" s="112"/>
      <c r="J16" s="112"/>
      <c r="K16" s="112"/>
      <c r="L16" s="112"/>
      <c r="M16" s="112"/>
      <c r="N16" s="112"/>
      <c r="O16" s="113"/>
      <c r="P16" s="113"/>
    </row>
    <row r="17" spans="1:16" s="114" customFormat="1" ht="83.25" customHeight="1">
      <c r="A17" s="221">
        <v>41035800</v>
      </c>
      <c r="B17" s="210" t="s">
        <v>161</v>
      </c>
      <c r="C17" s="225">
        <v>187713</v>
      </c>
      <c r="D17" s="115"/>
      <c r="E17" s="116"/>
      <c r="F17" s="117">
        <f t="shared" si="0"/>
        <v>187713</v>
      </c>
      <c r="G17" s="112"/>
      <c r="H17" s="112"/>
      <c r="I17" s="112"/>
      <c r="J17" s="112"/>
      <c r="K17" s="112"/>
      <c r="L17" s="112"/>
      <c r="M17" s="112"/>
      <c r="N17" s="112"/>
      <c r="O17" s="113"/>
      <c r="P17" s="113"/>
    </row>
    <row r="18" spans="1:16" s="114" customFormat="1" ht="82.5" customHeight="1">
      <c r="A18" s="231">
        <v>41037000</v>
      </c>
      <c r="B18" s="210" t="s">
        <v>149</v>
      </c>
      <c r="C18" s="226">
        <v>-1056900</v>
      </c>
      <c r="D18" s="213"/>
      <c r="E18" s="233"/>
      <c r="F18" s="117">
        <f t="shared" si="0"/>
        <v>-1056900</v>
      </c>
      <c r="G18" s="112"/>
      <c r="H18" s="112"/>
      <c r="I18" s="112"/>
      <c r="J18" s="112"/>
      <c r="K18" s="112"/>
      <c r="L18" s="112"/>
      <c r="M18" s="112"/>
      <c r="N18" s="112"/>
      <c r="O18" s="113"/>
      <c r="P18" s="113"/>
    </row>
    <row r="19" spans="1:16" s="114" customFormat="1" ht="138" customHeight="1">
      <c r="A19" s="231">
        <v>41037600</v>
      </c>
      <c r="B19" s="232" t="s">
        <v>192</v>
      </c>
      <c r="C19" s="226"/>
      <c r="D19" s="213">
        <v>65588</v>
      </c>
      <c r="E19" s="233"/>
      <c r="F19" s="117">
        <f t="shared" si="0"/>
        <v>65588</v>
      </c>
      <c r="G19" s="112"/>
      <c r="H19" s="112"/>
      <c r="I19" s="112"/>
      <c r="J19" s="112"/>
      <c r="K19" s="112"/>
      <c r="L19" s="112"/>
      <c r="M19" s="112"/>
      <c r="N19" s="112"/>
      <c r="O19" s="113"/>
      <c r="P19" s="113"/>
    </row>
    <row r="20" spans="1:16" s="114" customFormat="1" ht="90" customHeight="1" thickBot="1">
      <c r="A20" s="253">
        <v>41038200</v>
      </c>
      <c r="B20" s="259" t="s">
        <v>229</v>
      </c>
      <c r="C20" s="225">
        <v>16820200</v>
      </c>
      <c r="D20" s="115"/>
      <c r="E20" s="116"/>
      <c r="F20" s="260">
        <f t="shared" si="0"/>
        <v>16820200</v>
      </c>
      <c r="G20" s="112"/>
      <c r="H20" s="112"/>
      <c r="I20" s="112"/>
      <c r="J20" s="112"/>
      <c r="K20" s="112"/>
      <c r="L20" s="112"/>
      <c r="M20" s="112"/>
      <c r="N20" s="112"/>
      <c r="O20" s="113"/>
      <c r="P20" s="113"/>
    </row>
    <row r="21" spans="1:16" s="120" customFormat="1" ht="26.25" customHeight="1" thickBot="1">
      <c r="A21" s="222"/>
      <c r="B21" s="229" t="s">
        <v>45</v>
      </c>
      <c r="C21" s="261">
        <f>C9</f>
        <v>35756713</v>
      </c>
      <c r="D21" s="261">
        <f>D9</f>
        <v>65588</v>
      </c>
      <c r="E21" s="261">
        <f>E9</f>
        <v>0</v>
      </c>
      <c r="F21" s="262">
        <f>F9</f>
        <v>35822301</v>
      </c>
      <c r="G21" s="118"/>
      <c r="H21" s="118"/>
      <c r="I21" s="118"/>
      <c r="J21" s="118"/>
      <c r="K21" s="118"/>
      <c r="L21" s="118"/>
      <c r="M21" s="118"/>
      <c r="N21" s="118"/>
      <c r="O21" s="119"/>
      <c r="P21" s="119"/>
    </row>
    <row r="22" spans="1:16" s="120" customFormat="1" ht="23.25" customHeight="1">
      <c r="A22" s="121"/>
      <c r="B22" s="122"/>
      <c r="C22" s="123"/>
      <c r="D22" s="123"/>
      <c r="E22" s="123"/>
      <c r="F22" s="123"/>
      <c r="G22" s="118"/>
      <c r="H22" s="118"/>
      <c r="I22" s="118"/>
      <c r="J22" s="118"/>
      <c r="K22" s="118"/>
      <c r="L22" s="118"/>
      <c r="M22" s="118"/>
      <c r="N22" s="118"/>
      <c r="O22" s="119"/>
      <c r="P22" s="119"/>
    </row>
    <row r="23" spans="1:16" s="120" customFormat="1" ht="33" customHeight="1">
      <c r="A23" s="271" t="s">
        <v>68</v>
      </c>
      <c r="B23" s="271"/>
      <c r="C23" s="271"/>
      <c r="D23" s="125"/>
      <c r="E23" s="126"/>
      <c r="F23" s="124" t="s">
        <v>63</v>
      </c>
      <c r="G23" s="118"/>
      <c r="H23" s="118"/>
      <c r="I23" s="118"/>
      <c r="J23" s="118"/>
      <c r="K23" s="118"/>
      <c r="L23" s="118"/>
      <c r="M23" s="118"/>
      <c r="N23" s="118"/>
      <c r="O23" s="119"/>
      <c r="P23" s="119"/>
    </row>
    <row r="24" spans="7:16" ht="12.75">
      <c r="G24" s="111"/>
      <c r="H24" s="111"/>
      <c r="I24" s="111"/>
      <c r="J24" s="111"/>
      <c r="K24" s="111"/>
      <c r="L24" s="111"/>
      <c r="M24" s="111"/>
      <c r="N24" s="111"/>
      <c r="O24" s="104"/>
      <c r="P24" s="104"/>
    </row>
    <row r="25" spans="1:16" ht="15.75">
      <c r="A25" s="127"/>
      <c r="B25" s="128"/>
      <c r="C25" s="129"/>
      <c r="D25" s="129"/>
      <c r="E25" s="129"/>
      <c r="F25" s="129"/>
      <c r="G25" s="111"/>
      <c r="H25" s="111"/>
      <c r="I25" s="111"/>
      <c r="J25" s="111"/>
      <c r="K25" s="111"/>
      <c r="L25" s="111"/>
      <c r="M25" s="111"/>
      <c r="N25" s="111"/>
      <c r="O25" s="104"/>
      <c r="P25" s="104"/>
    </row>
    <row r="26" spans="1:16" ht="12.75">
      <c r="A26" s="130"/>
      <c r="B26" s="103"/>
      <c r="C26" s="104"/>
      <c r="D26" s="104"/>
      <c r="E26" s="104"/>
      <c r="F26" s="104"/>
      <c r="G26" s="111"/>
      <c r="H26" s="111"/>
      <c r="I26" s="111"/>
      <c r="J26" s="111"/>
      <c r="K26" s="111"/>
      <c r="L26" s="111"/>
      <c r="M26" s="111"/>
      <c r="N26" s="111"/>
      <c r="O26" s="104"/>
      <c r="P26" s="104"/>
    </row>
    <row r="27" spans="1:16" ht="12.75">
      <c r="A27" s="130"/>
      <c r="B27" s="13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04"/>
      <c r="P27" s="104"/>
    </row>
    <row r="28" spans="1:16" ht="12.75">
      <c r="A28" s="130"/>
      <c r="B28" s="13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04"/>
      <c r="P28" s="104"/>
    </row>
    <row r="29" spans="1:16" ht="12.75">
      <c r="A29" s="130"/>
      <c r="B29" s="13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04"/>
      <c r="P29" s="104"/>
    </row>
    <row r="30" spans="1:16" ht="12.75">
      <c r="A30" s="111"/>
      <c r="B30" s="13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04"/>
      <c r="P30" s="104"/>
    </row>
    <row r="31" spans="1:16" ht="12.75">
      <c r="A31" s="111"/>
      <c r="B31" s="13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04"/>
      <c r="P31" s="104"/>
    </row>
    <row r="32" spans="1:16" ht="12.75">
      <c r="A32" s="111"/>
      <c r="B32" s="13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04"/>
      <c r="P32" s="104"/>
    </row>
    <row r="33" spans="1:16" ht="12.75">
      <c r="A33" s="111"/>
      <c r="B33" s="132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04"/>
      <c r="P33" s="104"/>
    </row>
    <row r="34" spans="1:16" ht="12.75">
      <c r="A34" s="111"/>
      <c r="B34" s="13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04"/>
      <c r="P34" s="104"/>
    </row>
    <row r="35" spans="1:16" ht="12.75">
      <c r="A35" s="111"/>
      <c r="B35" s="13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04"/>
      <c r="P35" s="104"/>
    </row>
    <row r="36" spans="1:16" ht="12.75">
      <c r="A36" s="111"/>
      <c r="B36" s="13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04"/>
      <c r="P36" s="104"/>
    </row>
    <row r="37" spans="1:16" ht="12.75">
      <c r="A37" s="111"/>
      <c r="B37" s="13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04"/>
      <c r="P37" s="104"/>
    </row>
    <row r="38" spans="1:16" ht="12.75">
      <c r="A38" s="111"/>
      <c r="B38" s="13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04"/>
      <c r="P38" s="104"/>
    </row>
    <row r="39" spans="1:16" ht="12.75">
      <c r="A39" s="111"/>
      <c r="B39" s="13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04"/>
      <c r="P39" s="104"/>
    </row>
    <row r="40" spans="1:16" ht="12.75">
      <c r="A40" s="111"/>
      <c r="B40" s="13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04"/>
      <c r="P40" s="104"/>
    </row>
    <row r="41" spans="1:16" ht="12.75">
      <c r="A41" s="111"/>
      <c r="B41" s="13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04"/>
      <c r="P41" s="104"/>
    </row>
    <row r="42" spans="1:16" ht="12.75">
      <c r="A42" s="111"/>
      <c r="B42" s="13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04"/>
      <c r="P42" s="104"/>
    </row>
    <row r="43" spans="1:16" ht="12.75">
      <c r="A43" s="111"/>
      <c r="B43" s="13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04"/>
      <c r="P43" s="104"/>
    </row>
    <row r="44" spans="1:16" ht="12.75">
      <c r="A44" s="111"/>
      <c r="B44" s="13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04"/>
      <c r="P44" s="104"/>
    </row>
    <row r="45" spans="1:16" ht="12.75">
      <c r="A45" s="111"/>
      <c r="B45" s="13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04"/>
      <c r="P45" s="104"/>
    </row>
    <row r="46" spans="1:16" ht="12.75">
      <c r="A46" s="111"/>
      <c r="B46" s="13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04"/>
      <c r="P46" s="104"/>
    </row>
    <row r="47" spans="1:16" ht="12.75">
      <c r="A47" s="111"/>
      <c r="B47" s="13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04"/>
      <c r="P47" s="104"/>
    </row>
    <row r="48" spans="1:18" ht="12.75">
      <c r="A48" s="111"/>
      <c r="B48" s="13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04"/>
      <c r="P48" s="104"/>
      <c r="Q48" s="104"/>
      <c r="R48" s="104"/>
    </row>
    <row r="49" spans="1:18" ht="12.75">
      <c r="A49" s="111"/>
      <c r="B49" s="13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04"/>
      <c r="P49" s="104"/>
      <c r="Q49" s="104"/>
      <c r="R49" s="104"/>
    </row>
    <row r="50" spans="1:18" ht="12.75">
      <c r="A50" s="111"/>
      <c r="B50" s="13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04"/>
      <c r="P50" s="104"/>
      <c r="Q50" s="104"/>
      <c r="R50" s="104"/>
    </row>
    <row r="51" spans="1:18" ht="12.75">
      <c r="A51" s="111"/>
      <c r="B51" s="131"/>
      <c r="C51" s="111"/>
      <c r="D51" s="111"/>
      <c r="E51" s="111"/>
      <c r="F51" s="111"/>
      <c r="G51" s="133"/>
      <c r="H51" s="111"/>
      <c r="I51" s="111"/>
      <c r="J51" s="111"/>
      <c r="K51" s="111"/>
      <c r="L51" s="111"/>
      <c r="M51" s="111"/>
      <c r="N51" s="111"/>
      <c r="O51" s="104"/>
      <c r="P51" s="104"/>
      <c r="Q51" s="104"/>
      <c r="R51" s="104"/>
    </row>
    <row r="52" spans="1:18" ht="12.75">
      <c r="A52" s="111"/>
      <c r="B52" s="13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04"/>
      <c r="P52" s="104"/>
      <c r="Q52" s="104"/>
      <c r="R52" s="104"/>
    </row>
    <row r="53" spans="1:18" ht="12.75">
      <c r="A53" s="111"/>
      <c r="B53" s="13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04"/>
      <c r="P53" s="104"/>
      <c r="Q53" s="104"/>
      <c r="R53" s="104"/>
    </row>
    <row r="54" spans="1:18" ht="12.75">
      <c r="A54" s="111"/>
      <c r="B54" s="13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04"/>
      <c r="P54" s="104"/>
      <c r="Q54" s="104"/>
      <c r="R54" s="104"/>
    </row>
    <row r="55" spans="1:18" ht="12.75">
      <c r="A55" s="111"/>
      <c r="B55" s="13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04"/>
      <c r="P55" s="104"/>
      <c r="Q55" s="104"/>
      <c r="R55" s="104"/>
    </row>
    <row r="56" spans="1:18" ht="12.75">
      <c r="A56" s="111"/>
      <c r="B56" s="13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04"/>
      <c r="P56" s="104"/>
      <c r="Q56" s="104"/>
      <c r="R56" s="104"/>
    </row>
    <row r="57" spans="1:18" ht="12.75">
      <c r="A57" s="111"/>
      <c r="B57" s="13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04"/>
      <c r="P57" s="104"/>
      <c r="Q57" s="104"/>
      <c r="R57" s="104"/>
    </row>
    <row r="58" spans="1:18" ht="12.75">
      <c r="A58" s="111"/>
      <c r="B58" s="13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04"/>
      <c r="P58" s="104"/>
      <c r="Q58" s="104"/>
      <c r="R58" s="104"/>
    </row>
    <row r="59" spans="1:18" ht="12.75">
      <c r="A59" s="111"/>
      <c r="B59" s="13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04"/>
      <c r="P59" s="104"/>
      <c r="Q59" s="104"/>
      <c r="R59" s="104"/>
    </row>
    <row r="60" spans="1:18" ht="12.75">
      <c r="A60" s="111"/>
      <c r="B60" s="13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04"/>
      <c r="P60" s="104"/>
      <c r="Q60" s="104"/>
      <c r="R60" s="104"/>
    </row>
    <row r="61" spans="1:18" ht="12.75">
      <c r="A61" s="111"/>
      <c r="B61" s="13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04"/>
      <c r="P61" s="104"/>
      <c r="Q61" s="104"/>
      <c r="R61" s="104"/>
    </row>
    <row r="62" spans="1:18" ht="12.75">
      <c r="A62" s="111"/>
      <c r="B62" s="13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04"/>
      <c r="P62" s="104"/>
      <c r="Q62" s="104"/>
      <c r="R62" s="104"/>
    </row>
    <row r="63" spans="1:18" ht="12.75">
      <c r="A63" s="111"/>
      <c r="B63" s="13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04"/>
      <c r="P63" s="104"/>
      <c r="Q63" s="104"/>
      <c r="R63" s="104"/>
    </row>
    <row r="64" spans="1:18" ht="12.75">
      <c r="A64" s="111"/>
      <c r="B64" s="13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04"/>
      <c r="P64" s="104"/>
      <c r="Q64" s="104"/>
      <c r="R64" s="104"/>
    </row>
    <row r="65" spans="1:18" ht="12.75">
      <c r="A65" s="111"/>
      <c r="B65" s="13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04"/>
      <c r="P65" s="104"/>
      <c r="Q65" s="104"/>
      <c r="R65" s="104"/>
    </row>
    <row r="66" spans="1:18" ht="12.75">
      <c r="A66" s="111"/>
      <c r="B66" s="134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04"/>
      <c r="P66" s="104"/>
      <c r="Q66" s="104"/>
      <c r="R66" s="104"/>
    </row>
    <row r="67" spans="1:18" ht="12.75">
      <c r="A67" s="111"/>
      <c r="B67" s="13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04"/>
      <c r="P67" s="104"/>
      <c r="Q67" s="104"/>
      <c r="R67" s="104"/>
    </row>
    <row r="68" spans="1:18" ht="12.75">
      <c r="A68" s="111"/>
      <c r="B68" s="13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04"/>
      <c r="P68" s="104"/>
      <c r="Q68" s="104"/>
      <c r="R68" s="104"/>
    </row>
    <row r="69" spans="1:18" ht="12.75">
      <c r="A69" s="111"/>
      <c r="B69" s="13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04"/>
      <c r="P69" s="104"/>
      <c r="Q69" s="104"/>
      <c r="R69" s="104"/>
    </row>
    <row r="70" spans="1:18" ht="12.75">
      <c r="A70" s="111"/>
      <c r="B70" s="13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04"/>
      <c r="P70" s="104"/>
      <c r="Q70" s="104"/>
      <c r="R70" s="104"/>
    </row>
    <row r="71" spans="1:18" ht="12.75">
      <c r="A71" s="111"/>
      <c r="B71" s="13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04"/>
      <c r="P71" s="104"/>
      <c r="Q71" s="104"/>
      <c r="R71" s="104"/>
    </row>
    <row r="72" spans="1:18" ht="12.75">
      <c r="A72" s="111"/>
      <c r="B72" s="134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04"/>
      <c r="P72" s="104"/>
      <c r="Q72" s="104"/>
      <c r="R72" s="104"/>
    </row>
    <row r="73" spans="1:18" ht="12.75">
      <c r="A73" s="111"/>
      <c r="B73" s="13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04"/>
      <c r="P73" s="104"/>
      <c r="Q73" s="104"/>
      <c r="R73" s="104"/>
    </row>
    <row r="74" spans="1:18" ht="12.75">
      <c r="A74" s="111"/>
      <c r="B74" s="13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04"/>
      <c r="P74" s="104"/>
      <c r="Q74" s="104"/>
      <c r="R74" s="104"/>
    </row>
    <row r="75" spans="1:18" ht="12.75">
      <c r="A75" s="111"/>
      <c r="B75" s="13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04"/>
      <c r="P75" s="104"/>
      <c r="Q75" s="104"/>
      <c r="R75" s="104"/>
    </row>
    <row r="76" spans="1:18" ht="12.75">
      <c r="A76" s="111"/>
      <c r="B76" s="13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04"/>
      <c r="P76" s="104"/>
      <c r="Q76" s="104"/>
      <c r="R76" s="104"/>
    </row>
    <row r="77" spans="1:18" ht="12.75">
      <c r="A77" s="111"/>
      <c r="B77" s="13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04"/>
      <c r="P77" s="104"/>
      <c r="Q77" s="104"/>
      <c r="R77" s="104"/>
    </row>
    <row r="78" spans="1:18" ht="12.75">
      <c r="A78" s="111"/>
      <c r="B78" s="13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04"/>
      <c r="P78" s="104"/>
      <c r="Q78" s="104"/>
      <c r="R78" s="104"/>
    </row>
    <row r="79" spans="1:18" ht="12.75">
      <c r="A79" s="111"/>
      <c r="B79" s="13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04"/>
      <c r="P79" s="104"/>
      <c r="Q79" s="104"/>
      <c r="R79" s="104"/>
    </row>
    <row r="80" spans="1:18" ht="12.75">
      <c r="A80" s="111"/>
      <c r="B80" s="13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04"/>
      <c r="P80" s="104"/>
      <c r="Q80" s="104"/>
      <c r="R80" s="104"/>
    </row>
    <row r="81" spans="1:18" ht="12.75">
      <c r="A81" s="111"/>
      <c r="B81" s="13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04"/>
      <c r="P81" s="104"/>
      <c r="Q81" s="104"/>
      <c r="R81" s="104"/>
    </row>
    <row r="82" spans="1:18" ht="12.75">
      <c r="A82" s="111"/>
      <c r="B82" s="13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04"/>
      <c r="P82" s="104"/>
      <c r="Q82" s="104"/>
      <c r="R82" s="104"/>
    </row>
    <row r="83" spans="1:18" ht="12.75">
      <c r="A83" s="111"/>
      <c r="B83" s="13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04"/>
      <c r="P83" s="104"/>
      <c r="Q83" s="104"/>
      <c r="R83" s="104"/>
    </row>
    <row r="84" spans="1:18" ht="12.75">
      <c r="A84" s="111"/>
      <c r="B84" s="131"/>
      <c r="C84" s="135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75">
      <c r="A85" s="111"/>
      <c r="B85" s="131"/>
      <c r="C85" s="135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75">
      <c r="A86" s="111"/>
      <c r="B86" s="103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75">
      <c r="A87" s="111"/>
      <c r="B87" s="103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75">
      <c r="A88" s="111"/>
      <c r="B88" s="136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75">
      <c r="A89" s="102"/>
      <c r="B89" s="136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75">
      <c r="A90" s="102"/>
      <c r="B90" s="103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75">
      <c r="A91" s="102"/>
      <c r="B91" s="103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75">
      <c r="A92" s="102"/>
      <c r="B92" s="103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1:18" ht="12.75">
      <c r="A93" s="102"/>
      <c r="B93" s="103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1:18" ht="12.75">
      <c r="A94" s="102"/>
      <c r="B94" s="103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1:18" ht="12.75">
      <c r="A95" s="102"/>
      <c r="B95" s="103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1:18" ht="12.75">
      <c r="A96" s="102"/>
      <c r="B96" s="103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1:18" ht="12.75">
      <c r="A97" s="102"/>
      <c r="B97" s="103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ht="12.75">
      <c r="A98" s="102"/>
      <c r="B98" s="103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1:18" ht="12.75">
      <c r="A99" s="102"/>
      <c r="B99" s="103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1:18" ht="12.75">
      <c r="A100" s="102"/>
      <c r="B100" s="103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1:18" ht="12.75">
      <c r="A101" s="102"/>
      <c r="B101" s="103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1:18" ht="12.75">
      <c r="A102" s="102"/>
      <c r="B102" s="10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1:18" ht="12.75">
      <c r="A103" s="102"/>
      <c r="B103" s="10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1:18" ht="12.75">
      <c r="A104" s="102"/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1:18" ht="12.75">
      <c r="A105" s="102"/>
      <c r="B105" s="103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1:18" ht="12.75">
      <c r="A106" s="102"/>
      <c r="B106" s="103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1:18" ht="12.75">
      <c r="A107" s="102"/>
      <c r="B107" s="103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1:18" ht="12.75">
      <c r="A108" s="102"/>
      <c r="B108" s="103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1:18" ht="12.75">
      <c r="A109" s="102"/>
      <c r="B109" s="103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1:18" ht="12.75">
      <c r="A110" s="102"/>
      <c r="B110" s="103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1:18" ht="12.75">
      <c r="A111" s="102"/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1:18" ht="12.75">
      <c r="A112" s="102"/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1:18" ht="12.75">
      <c r="A113" s="102"/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1:18" ht="12.75">
      <c r="A114" s="102"/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1:18" ht="12.75">
      <c r="A115" s="102"/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1:18" ht="12.75">
      <c r="A116" s="102"/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1:18" ht="12.75">
      <c r="A117" s="102"/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1:18" ht="12.75">
      <c r="A118" s="102"/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1:18" ht="12.75">
      <c r="A119" s="102"/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1:18" ht="12.75">
      <c r="A120" s="102"/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1:18" ht="12.75">
      <c r="A121" s="102"/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1:18" ht="12.75">
      <c r="A122" s="102"/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1:18" ht="12.75">
      <c r="A123" s="102"/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1:18" ht="12.75">
      <c r="A124" s="102"/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1:18" ht="12.75">
      <c r="A125" s="102"/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1:18" ht="12.75">
      <c r="A126" s="102"/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1:18" ht="12.75">
      <c r="A127" s="102"/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1:18" ht="12.75">
      <c r="A128" s="102"/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1:18" ht="12.75">
      <c r="A129" s="102"/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1:18" ht="12.75">
      <c r="A130" s="102"/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1:18" ht="12.75">
      <c r="A131" s="102"/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1:18" ht="12.75">
      <c r="A132" s="102"/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1:18" ht="12.75">
      <c r="A133" s="102"/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1:18" ht="12.75">
      <c r="A134" s="102"/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1:18" ht="12.75">
      <c r="A135" s="102"/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1:18" ht="12.75">
      <c r="A136" s="102"/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1:18" ht="12.75">
      <c r="A137" s="102"/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1:18" ht="12.75">
      <c r="A138" s="102"/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1:18" ht="12.75">
      <c r="A139" s="102"/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1:18" ht="12.75">
      <c r="A140" s="102"/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1:18" ht="12.75">
      <c r="A141" s="102"/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1:18" ht="12.75">
      <c r="A142" s="102"/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1:18" ht="12.75">
      <c r="A143" s="102"/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1:18" ht="12.75">
      <c r="A144" s="102"/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1:18" ht="12.75">
      <c r="A145" s="102"/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1:18" ht="12.75">
      <c r="A146" s="102"/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1:18" ht="12.75">
      <c r="A147" s="102"/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1:18" ht="12.75">
      <c r="A148" s="102"/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1:18" ht="12.75">
      <c r="A149" s="102"/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1:18" ht="12.75">
      <c r="A150" s="102"/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1:18" ht="12.75">
      <c r="A151" s="102"/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1:18" ht="12.75">
      <c r="A152" s="102"/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1:18" ht="12.75">
      <c r="A153" s="102"/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1:18" ht="12.75">
      <c r="A154" s="102"/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1:18" ht="12.75">
      <c r="A155" s="102"/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1:18" ht="12.75">
      <c r="A156" s="102"/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1:18" ht="12.75">
      <c r="A157" s="102"/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1:18" ht="12.75">
      <c r="A158" s="102"/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1:18" ht="12.75">
      <c r="A159" s="102"/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1:18" ht="12.75">
      <c r="A160" s="102"/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1:18" ht="12.75">
      <c r="A161" s="102"/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1:18" ht="12.75">
      <c r="A162" s="102"/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1:18" ht="12.75">
      <c r="A163" s="102"/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1:18" ht="12.75">
      <c r="A164" s="102"/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1:18" ht="12.75">
      <c r="A165" s="102"/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1:18" ht="12.75">
      <c r="A166" s="102"/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1:18" ht="12.75">
      <c r="A167" s="102"/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1:18" ht="12.75">
      <c r="A168" s="102"/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1:18" ht="12.75">
      <c r="A169" s="102"/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1:18" ht="12.75">
      <c r="A170" s="102"/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1:18" ht="12.75">
      <c r="A171" s="102"/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1:18" ht="12.75">
      <c r="A172" s="102"/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1:18" ht="12.75">
      <c r="A173" s="102"/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1:18" ht="12.75">
      <c r="A174" s="102"/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1:18" ht="12.75">
      <c r="A175" s="102"/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1:18" ht="12.75">
      <c r="A176" s="102"/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1:18" ht="12.75">
      <c r="A177" s="102"/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1:18" ht="12.75">
      <c r="A178" s="102"/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1:18" ht="12.75">
      <c r="A179" s="102"/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1:18" ht="12.75">
      <c r="A180" s="102"/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1:18" ht="12.75">
      <c r="A181" s="102"/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1:18" ht="12.75">
      <c r="A182" s="102"/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1:18" ht="12.75">
      <c r="A183" s="102"/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1:18" ht="12.75">
      <c r="A184" s="102"/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1:18" ht="12.75">
      <c r="A185" s="102"/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1:18" ht="12.75">
      <c r="A186" s="102"/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1:18" ht="12.75">
      <c r="A187" s="102"/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1:18" ht="12.75">
      <c r="A188" s="102"/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1:18" ht="12.75">
      <c r="A189" s="102"/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1:18" ht="12.75">
      <c r="A190" s="102"/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1:18" ht="12.75">
      <c r="A191" s="102"/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1:18" ht="12.75">
      <c r="A192" s="102"/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1:18" ht="12.75">
      <c r="A193" s="102"/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1:18" ht="12.75">
      <c r="A194" s="102"/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1:18" ht="12.75">
      <c r="A195" s="102"/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1:18" ht="12.75">
      <c r="A196" s="102"/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1:18" ht="12.75">
      <c r="A197" s="102"/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1:18" ht="12.75">
      <c r="A198" s="102"/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1:18" ht="12.75">
      <c r="A199" s="102"/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1:18" ht="12.75">
      <c r="A200" s="102"/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1:18" ht="12.75">
      <c r="A201" s="102"/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1:18" ht="12.75">
      <c r="A202" s="102"/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1:18" ht="12.75">
      <c r="A203" s="102"/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1:18" ht="12.75">
      <c r="A204" s="102"/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1:18" ht="12.75">
      <c r="A205" s="102"/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1:18" ht="12.75">
      <c r="A206" s="102"/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1:18" ht="12.75">
      <c r="A207" s="102"/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1:18" ht="12.75">
      <c r="A208" s="102"/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1:18" ht="12.75">
      <c r="A209" s="102"/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1:18" ht="12.75">
      <c r="A210" s="102"/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1:18" ht="12.75">
      <c r="A211" s="102"/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1:18" ht="12.75">
      <c r="A212" s="102"/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1:18" ht="12.75">
      <c r="A213" s="102"/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1:18" ht="12.75">
      <c r="A214" s="102"/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1:18" ht="12.75">
      <c r="A215" s="102"/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1:18" ht="12.75">
      <c r="A216" s="102"/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1:18" ht="12.75">
      <c r="A217" s="102"/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1:18" ht="12.75">
      <c r="A218" s="102"/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1:18" ht="12.75">
      <c r="A219" s="102"/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1:18" ht="12.75">
      <c r="A220" s="102"/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1:18" ht="12.75">
      <c r="A221" s="102"/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1:18" ht="12.75">
      <c r="A222" s="102"/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1:18" ht="12.75">
      <c r="A223" s="102"/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1:18" ht="12.75">
      <c r="A224" s="102"/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1:18" ht="12.75">
      <c r="A225" s="102"/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1:18" ht="12.75">
      <c r="A226" s="102"/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1:18" ht="12.75">
      <c r="A227" s="102"/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1:18" ht="12.75">
      <c r="A228" s="102"/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1:18" ht="12.75">
      <c r="A229" s="102"/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1:18" ht="12.75">
      <c r="A230" s="102"/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1:18" ht="12.75">
      <c r="A231" s="102"/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1:18" ht="12.75">
      <c r="A232" s="102"/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1:18" ht="12.75">
      <c r="A233" s="102"/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1:18" ht="12.75">
      <c r="A234" s="102"/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1:18" ht="12.75">
      <c r="A235" s="102"/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1:18" ht="12.75">
      <c r="A236" s="102"/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1:18" ht="12.75">
      <c r="A237" s="102"/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1:18" ht="12.75">
      <c r="A238" s="102"/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1:18" ht="12.75">
      <c r="A239" s="102"/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1:18" ht="12.75">
      <c r="A240" s="102"/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1:18" ht="12.75">
      <c r="A241" s="102"/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1:18" ht="12.75">
      <c r="A242" s="102"/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1:18" ht="12.75">
      <c r="A243" s="102"/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1:18" ht="12.75">
      <c r="A244" s="102"/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1:18" ht="12.75">
      <c r="A245" s="102"/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1:18" ht="12.75">
      <c r="A246" s="102"/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1:18" ht="12.75">
      <c r="A247" s="102"/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1:18" ht="12.75">
      <c r="A248" s="102"/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1:18" ht="12.75">
      <c r="A249" s="102"/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1:18" ht="12.75">
      <c r="A250" s="102"/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1:18" ht="12.75">
      <c r="A251" s="102"/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1:18" ht="12.75">
      <c r="A252" s="102"/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1:18" ht="12.75">
      <c r="A253" s="102"/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1:18" ht="12.75">
      <c r="A254" s="102"/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1:18" ht="12.75">
      <c r="A255" s="102"/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1:18" ht="12.75">
      <c r="A256" s="102"/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1:18" ht="12.75">
      <c r="A257" s="102"/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1:18" ht="12.75">
      <c r="A258" s="102"/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1:18" ht="12.75">
      <c r="A259" s="102"/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1:18" ht="12.75">
      <c r="A260" s="102"/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1:18" ht="12.75">
      <c r="A261" s="102"/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1:18" ht="12.75">
      <c r="A262" s="102"/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1:18" ht="12.75">
      <c r="A263" s="102"/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1:18" ht="12.75">
      <c r="A264" s="102"/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1:18" ht="12.75">
      <c r="A265" s="102"/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1:18" ht="12.75">
      <c r="A266" s="102"/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1:18" ht="12.75">
      <c r="A267" s="102"/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1:18" ht="12.75">
      <c r="A268" s="102"/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1:18" ht="12.75">
      <c r="A269" s="102"/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1:18" ht="12.75">
      <c r="A270" s="102"/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1:18" ht="12.75">
      <c r="A271" s="102"/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1:18" ht="12.75">
      <c r="A272" s="102"/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1:18" ht="12.75">
      <c r="A273" s="102"/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1:18" ht="12.75">
      <c r="A274" s="102"/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1:18" ht="12.75">
      <c r="A275" s="102"/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1:18" ht="12.75">
      <c r="A276" s="102"/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1:18" ht="12.75">
      <c r="A277" s="102"/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1:18" ht="12.75">
      <c r="A278" s="102"/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1:18" ht="12.75">
      <c r="A279" s="102"/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1:18" ht="12.75">
      <c r="A280" s="102"/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1:18" ht="12.75">
      <c r="A281" s="102"/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1:18" ht="12.75">
      <c r="A282" s="102"/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1:18" ht="12.75">
      <c r="A283" s="102"/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1:18" ht="12.75">
      <c r="A284" s="102"/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1:18" ht="12.75">
      <c r="A285" s="102"/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1:18" ht="12.75">
      <c r="A286" s="102"/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1:18" ht="12.75">
      <c r="A287" s="102"/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1:18" ht="12.75">
      <c r="A288" s="102"/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1:18" ht="12.75">
      <c r="A289" s="102"/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1:18" ht="12.75">
      <c r="A290" s="102"/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1:18" ht="12.75">
      <c r="A291" s="102"/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1:18" ht="12.75">
      <c r="A292" s="102"/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1:18" ht="12.75">
      <c r="A293" s="102"/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1:18" ht="12.75">
      <c r="A294" s="102"/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1:18" ht="12.75">
      <c r="A295" s="102"/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1:18" ht="12.75">
      <c r="A296" s="102"/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1:18" ht="12.75">
      <c r="A297" s="102"/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1:18" ht="12.75">
      <c r="A298" s="102"/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1:18" ht="12.75">
      <c r="A299" s="102"/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1:18" ht="12.75">
      <c r="A300" s="102"/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1:18" ht="12.75">
      <c r="A301" s="102"/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1:18" ht="12.75">
      <c r="A302" s="102"/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1:18" ht="12.75">
      <c r="A303" s="102"/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1:18" ht="12.75">
      <c r="A304" s="102"/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1:18" ht="12.75">
      <c r="A305" s="102"/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1:18" ht="12.75">
      <c r="A306" s="102"/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1:18" ht="12.75">
      <c r="A307" s="102"/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1:18" ht="12.75">
      <c r="A308" s="102"/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1:18" ht="12.75">
      <c r="A309" s="102"/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1:18" ht="12.75">
      <c r="A310" s="102"/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1:18" ht="12.75">
      <c r="A311" s="102"/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1:18" ht="12.75">
      <c r="A312" s="102"/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1:18" ht="12.75">
      <c r="A313" s="102"/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1:18" ht="12.75">
      <c r="A314" s="102"/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1:18" ht="12.75">
      <c r="A315" s="102"/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1:18" ht="12.75">
      <c r="A316" s="102"/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1:18" ht="12.75">
      <c r="A317" s="102"/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1:18" ht="12.75">
      <c r="A318" s="102"/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1:18" ht="12.75">
      <c r="A319" s="102"/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1:18" ht="12.75">
      <c r="A320" s="102"/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1:18" ht="12.75">
      <c r="A321" s="102"/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1:18" ht="12.75">
      <c r="A322" s="102"/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1:18" ht="12.75">
      <c r="A323" s="102"/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1:18" ht="12.75">
      <c r="A324" s="102"/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1:18" ht="12.75">
      <c r="A325" s="102"/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1:18" ht="12.75">
      <c r="A326" s="102"/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1:18" ht="12.75">
      <c r="A327" s="102"/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1:18" ht="12.75">
      <c r="A328" s="102"/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1:18" ht="12.75">
      <c r="A329" s="102"/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1:18" ht="12.75">
      <c r="A330" s="102"/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1:18" ht="12.75">
      <c r="A331" s="102"/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1:18" ht="12.75">
      <c r="A332" s="102"/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1:18" ht="12.75">
      <c r="A333" s="102"/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1:18" ht="12.75">
      <c r="A334" s="102"/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1:18" ht="12.75">
      <c r="A335" s="102"/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1:18" ht="12.75">
      <c r="A336" s="102"/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1:18" ht="12.75">
      <c r="A337" s="102"/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1:18" ht="12.75">
      <c r="A338" s="102"/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1:18" ht="12.75">
      <c r="A339" s="102"/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1:18" ht="12.75">
      <c r="A340" s="102"/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1:18" ht="12.75">
      <c r="A341" s="102"/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1:18" ht="12.75">
      <c r="A342" s="102"/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1:18" ht="12.75">
      <c r="A343" s="102"/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1:18" ht="12.75">
      <c r="A344" s="102"/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1:18" ht="12.75">
      <c r="A345" s="102"/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1:18" ht="12.75">
      <c r="A346" s="102"/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1:18" ht="12.75">
      <c r="A347" s="102"/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1:18" ht="12.75">
      <c r="A348" s="102"/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1:18" ht="12.75">
      <c r="A349" s="102"/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1:18" ht="12.75">
      <c r="A350" s="102"/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1:18" ht="12.75">
      <c r="A351" s="102"/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1:18" ht="12.75">
      <c r="A352" s="102"/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1:18" ht="12.75">
      <c r="A353" s="102"/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1:18" ht="12.75">
      <c r="A354" s="102"/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1:18" ht="12.75">
      <c r="A355" s="102"/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1:18" ht="12.75">
      <c r="A356" s="102"/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1:18" ht="12.75">
      <c r="A357" s="102"/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1:18" ht="12.75">
      <c r="A358" s="102"/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1:18" ht="12.75">
      <c r="A359" s="102"/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1:18" ht="12.75">
      <c r="A360" s="102"/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1:18" ht="12.75">
      <c r="A361" s="102"/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1:18" ht="12.75">
      <c r="A362" s="102"/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1:18" ht="12.75">
      <c r="A363" s="102"/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1:18" ht="12.75">
      <c r="A364" s="102"/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1:18" ht="12.75">
      <c r="A365" s="102"/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1:18" ht="12.75">
      <c r="A366" s="102"/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1:18" ht="12.75">
      <c r="A367" s="102"/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1:18" ht="12.75">
      <c r="A368" s="102"/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1:18" ht="12.75">
      <c r="A369" s="102"/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1:18" ht="12.75">
      <c r="A370" s="102"/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1:18" ht="12.75">
      <c r="A371" s="102"/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1:18" ht="12.75">
      <c r="A372" s="102"/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1:18" ht="12.75">
      <c r="A373" s="102"/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1:18" ht="12.75">
      <c r="A374" s="102"/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1:18" ht="12.75">
      <c r="A375" s="102"/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1:18" ht="12.75">
      <c r="A376" s="102"/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1:18" ht="12.75">
      <c r="A377" s="102"/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1:18" ht="12.75">
      <c r="A378" s="102"/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1:18" ht="12.75">
      <c r="A379" s="102"/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1:18" ht="12.75">
      <c r="A380" s="102"/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1:18" ht="12.75">
      <c r="A381" s="102"/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1:18" ht="12.75">
      <c r="A382" s="102"/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1:18" ht="12.75">
      <c r="A383" s="102"/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1:18" ht="12.75">
      <c r="A384" s="102"/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1:18" ht="12.75">
      <c r="A385" s="102"/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1:18" ht="12.75">
      <c r="A386" s="102"/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1:18" ht="12.75">
      <c r="A387" s="102"/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1:18" ht="12.75">
      <c r="A388" s="102"/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1:18" ht="12.75">
      <c r="A389" s="102"/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1:18" ht="12.75">
      <c r="A390" s="102"/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1:18" ht="12.75">
      <c r="A391" s="102"/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1:18" ht="12.75">
      <c r="A392" s="102"/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1:18" ht="12.75">
      <c r="A393" s="102"/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1:18" ht="12.75">
      <c r="A394" s="102"/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1:18" ht="12.75">
      <c r="A395" s="102"/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1:18" ht="12.75">
      <c r="A396" s="102"/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1:18" ht="12.75">
      <c r="A397" s="102"/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1:18" ht="12.75">
      <c r="A398" s="102"/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1:18" ht="12.75">
      <c r="A399" s="102"/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0" spans="1:18" ht="12.75">
      <c r="A400" s="102"/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</row>
    <row r="401" spans="1:18" ht="12.75">
      <c r="A401" s="102"/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</row>
    <row r="402" spans="1:18" ht="12.75">
      <c r="A402" s="102"/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</row>
    <row r="403" spans="1:18" ht="12.75">
      <c r="A403" s="102"/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</row>
    <row r="404" spans="1:18" ht="12.75">
      <c r="A404" s="102"/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</row>
    <row r="405" spans="1:18" ht="12.75">
      <c r="A405" s="102"/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</row>
    <row r="406" spans="1:18" ht="12.75">
      <c r="A406" s="102"/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</row>
    <row r="407" spans="1:18" ht="12.75">
      <c r="A407" s="102"/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</row>
    <row r="408" spans="1:18" ht="12.75">
      <c r="A408" s="102"/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</row>
    <row r="409" spans="1:18" ht="12.75">
      <c r="A409" s="102"/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</row>
    <row r="410" spans="1:18" ht="12.75">
      <c r="A410" s="102"/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</row>
    <row r="411" spans="1:18" ht="12.75">
      <c r="A411" s="102"/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</row>
    <row r="412" spans="1:18" ht="12.75">
      <c r="A412" s="102"/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</row>
    <row r="413" spans="1:18" ht="12.75">
      <c r="A413" s="102"/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</row>
    <row r="414" spans="1:18" ht="12.75">
      <c r="A414" s="102"/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</row>
    <row r="415" spans="1:18" ht="12.75">
      <c r="A415" s="102"/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</row>
    <row r="416" spans="1:18" ht="12.75">
      <c r="A416" s="102"/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</row>
    <row r="417" spans="1:18" ht="12.75">
      <c r="A417" s="102"/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</row>
    <row r="418" spans="1:18" ht="12.75">
      <c r="A418" s="102"/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</row>
    <row r="419" spans="1:18" ht="12.75">
      <c r="A419" s="102"/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</row>
    <row r="420" spans="1:18" ht="12.75">
      <c r="A420" s="102"/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</row>
    <row r="421" spans="1:18" ht="12.75">
      <c r="A421" s="102"/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</row>
    <row r="422" spans="1:18" ht="12.75">
      <c r="A422" s="102"/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</row>
    <row r="423" spans="1:18" ht="12.75">
      <c r="A423" s="102"/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</row>
    <row r="424" spans="1:18" ht="12.75">
      <c r="A424" s="102"/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</row>
    <row r="425" spans="1:18" ht="12.75">
      <c r="A425" s="102"/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</row>
    <row r="426" spans="1:18" ht="12.75">
      <c r="A426" s="102"/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</row>
    <row r="427" spans="1:18" ht="12.75">
      <c r="A427" s="102"/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</row>
    <row r="428" spans="1:18" ht="12.75">
      <c r="A428" s="102"/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</row>
    <row r="429" spans="1:18" ht="12.75">
      <c r="A429" s="102"/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</row>
    <row r="430" spans="1:18" ht="12.75">
      <c r="A430" s="102"/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</row>
    <row r="431" spans="1:18" ht="12.75">
      <c r="A431" s="102"/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</row>
    <row r="432" spans="1:18" ht="12.75">
      <c r="A432" s="102"/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</row>
    <row r="433" spans="1:18" ht="12.75">
      <c r="A433" s="102"/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</row>
    <row r="434" spans="1:18" ht="12.75">
      <c r="A434" s="102"/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</row>
    <row r="435" spans="1:18" ht="12.75">
      <c r="A435" s="102"/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</row>
    <row r="436" spans="1:18" ht="12.75">
      <c r="A436" s="102"/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</row>
    <row r="437" spans="1:18" ht="12.75">
      <c r="A437" s="102"/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</row>
    <row r="438" spans="1:18" ht="12.75">
      <c r="A438" s="102"/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</row>
    <row r="439" spans="1:18" ht="12.75">
      <c r="A439" s="102"/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</row>
    <row r="440" spans="1:18" ht="12.75">
      <c r="A440" s="102"/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</row>
    <row r="441" spans="1:18" ht="12.75">
      <c r="A441" s="102"/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</row>
    <row r="442" spans="1:18" ht="12.75">
      <c r="A442" s="102"/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</row>
    <row r="443" spans="1:18" ht="12.75">
      <c r="A443" s="102"/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</row>
    <row r="444" spans="1:18" ht="12.75">
      <c r="A444" s="102"/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</row>
    <row r="445" spans="1:18" ht="12.75">
      <c r="A445" s="102"/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</row>
    <row r="446" spans="1:18" ht="12.75">
      <c r="A446" s="102"/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</row>
    <row r="447" spans="1:18" ht="12.75">
      <c r="A447" s="102"/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</row>
    <row r="448" spans="1:18" ht="12.75">
      <c r="A448" s="102"/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</row>
    <row r="449" spans="1:18" ht="12.75">
      <c r="A449" s="102"/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</row>
    <row r="450" spans="1:18" ht="12.75">
      <c r="A450" s="102"/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</row>
    <row r="451" spans="1:18" ht="12.75">
      <c r="A451" s="102"/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</row>
    <row r="452" spans="1:18" ht="12.75">
      <c r="A452" s="102"/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</row>
    <row r="453" spans="1:18" ht="12.75">
      <c r="A453" s="102"/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</row>
    <row r="454" spans="1:18" ht="12.75">
      <c r="A454" s="102"/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</row>
    <row r="455" spans="1:18" ht="12.75">
      <c r="A455" s="102"/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</row>
    <row r="456" spans="1:18" ht="12.75">
      <c r="A456" s="102"/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</row>
    <row r="457" spans="1:18" ht="12.75">
      <c r="A457" s="102"/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</row>
    <row r="458" spans="1:18" ht="12.75">
      <c r="A458" s="102"/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</row>
    <row r="459" spans="1:18" ht="12.75">
      <c r="A459" s="102"/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</row>
    <row r="460" spans="1:18" ht="12.75">
      <c r="A460" s="102"/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</row>
    <row r="461" spans="1:18" ht="12.75">
      <c r="A461" s="102"/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</row>
    <row r="462" spans="1:18" ht="12.75">
      <c r="A462" s="102"/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</row>
    <row r="463" spans="1:18" ht="12.75">
      <c r="A463" s="102"/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</row>
    <row r="464" spans="1:18" ht="12.75">
      <c r="A464" s="102"/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</row>
    <row r="465" spans="1:18" ht="12.75">
      <c r="A465" s="102"/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</row>
    <row r="466" spans="1:18" ht="12.75">
      <c r="A466" s="102"/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</row>
    <row r="467" spans="1:18" ht="12.75">
      <c r="A467" s="102"/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</row>
    <row r="468" spans="1:18" ht="12.75">
      <c r="A468" s="102"/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</row>
    <row r="469" spans="1:18" ht="12.75">
      <c r="A469" s="102"/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</row>
    <row r="470" spans="1:18" ht="12.75">
      <c r="A470" s="102"/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</row>
    <row r="471" spans="1:18" ht="12.75">
      <c r="A471" s="102"/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</row>
    <row r="472" spans="1:18" ht="12.75">
      <c r="A472" s="102"/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</row>
    <row r="473" spans="1:18" ht="12.75">
      <c r="A473" s="102"/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</row>
    <row r="474" spans="1:18" ht="12.75">
      <c r="A474" s="102"/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</row>
    <row r="475" spans="1:18" ht="12.75">
      <c r="A475" s="102"/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</row>
    <row r="476" spans="1:18" ht="12.75">
      <c r="A476" s="102"/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</row>
    <row r="477" spans="1:18" ht="12.75">
      <c r="A477" s="102"/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</row>
    <row r="478" spans="1:18" ht="12.75">
      <c r="A478" s="102"/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</row>
    <row r="479" spans="1:18" ht="12.75">
      <c r="A479" s="102"/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</row>
    <row r="480" spans="1:18" ht="12.75">
      <c r="A480" s="102"/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</row>
    <row r="481" spans="1:18" ht="12.75">
      <c r="A481" s="102"/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</row>
    <row r="482" spans="1:18" ht="12.75">
      <c r="A482" s="102"/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</row>
    <row r="483" spans="1:18" ht="12.75">
      <c r="A483" s="102"/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</row>
    <row r="484" spans="1:18" ht="12.75">
      <c r="A484" s="102"/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</row>
    <row r="485" spans="1:18" ht="12.75">
      <c r="A485" s="102"/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</row>
    <row r="486" spans="1:18" ht="12.75">
      <c r="A486" s="102"/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</row>
    <row r="487" spans="1:18" ht="12.75">
      <c r="A487" s="102"/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</row>
    <row r="488" spans="1:18" ht="12.75">
      <c r="A488" s="102"/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</row>
    <row r="489" spans="1:18" ht="12.75">
      <c r="A489" s="102"/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</row>
    <row r="490" spans="1:18" ht="12.75">
      <c r="A490" s="102"/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</row>
    <row r="491" spans="1:18" ht="12.75">
      <c r="A491" s="102"/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</row>
    <row r="492" spans="1:18" ht="12.75">
      <c r="A492" s="102"/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</row>
    <row r="493" spans="1:18" ht="12.75">
      <c r="A493" s="102"/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</row>
    <row r="494" spans="1:18" ht="12.75">
      <c r="A494" s="102"/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</row>
    <row r="495" spans="1:18" ht="12.75">
      <c r="A495" s="102"/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</row>
    <row r="496" spans="1:18" ht="12.75">
      <c r="A496" s="102"/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</row>
    <row r="497" spans="1:18" ht="12.75">
      <c r="A497" s="102"/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</row>
    <row r="498" spans="1:18" ht="12.75">
      <c r="A498" s="102"/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</row>
    <row r="499" spans="1:18" ht="12.75">
      <c r="A499" s="102"/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</row>
    <row r="500" spans="1:18" ht="12.75">
      <c r="A500" s="102"/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</row>
    <row r="501" spans="1:18" ht="12.75">
      <c r="A501" s="102"/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</row>
    <row r="502" spans="1:18" ht="12.75">
      <c r="A502" s="102"/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</row>
    <row r="503" spans="1:18" ht="12.75">
      <c r="A503" s="102"/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</row>
    <row r="504" spans="1:18" ht="12.75">
      <c r="A504" s="102"/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</row>
    <row r="505" spans="1:18" ht="12.75">
      <c r="A505" s="102"/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</row>
    <row r="506" spans="1:18" ht="12.75">
      <c r="A506" s="102"/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</row>
    <row r="507" spans="1:18" ht="12.75">
      <c r="A507" s="102"/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</row>
    <row r="508" spans="1:18" ht="12.75">
      <c r="A508" s="102"/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</row>
    <row r="509" spans="1:18" ht="12.75">
      <c r="A509" s="102"/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</row>
    <row r="510" spans="1:18" ht="12.75">
      <c r="A510" s="102"/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</row>
    <row r="511" spans="1:18" ht="12.75">
      <c r="A511" s="102"/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</row>
    <row r="512" spans="1:18" ht="12.75">
      <c r="A512" s="102"/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</row>
    <row r="513" spans="1:18" ht="12.75">
      <c r="A513" s="102"/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</row>
    <row r="514" spans="1:18" ht="12.75">
      <c r="A514" s="102"/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</row>
    <row r="515" spans="1:18" ht="12.75">
      <c r="A515" s="102"/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</row>
    <row r="516" spans="1:18" ht="12.75">
      <c r="A516" s="102"/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</row>
    <row r="517" spans="1:18" ht="12.75">
      <c r="A517" s="102"/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</row>
    <row r="518" spans="1:18" ht="12.75">
      <c r="A518" s="102"/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</row>
    <row r="519" spans="1:18" ht="12.75">
      <c r="A519" s="102"/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</row>
    <row r="520" spans="1:18" ht="12.75">
      <c r="A520" s="102"/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</row>
    <row r="521" spans="1:18" ht="12.75">
      <c r="A521" s="102"/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</row>
    <row r="522" spans="1:18" ht="12.75">
      <c r="A522" s="102"/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</row>
    <row r="523" spans="1:18" ht="12.75">
      <c r="A523" s="102"/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</row>
    <row r="524" spans="1:18" ht="12.75">
      <c r="A524" s="102"/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</row>
    <row r="525" spans="1:18" ht="12.75">
      <c r="A525" s="102"/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</row>
    <row r="526" spans="1:18" ht="12.75">
      <c r="A526" s="102"/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</row>
    <row r="527" spans="1:18" ht="12.75">
      <c r="A527" s="102"/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</row>
    <row r="528" spans="1:18" ht="12.75">
      <c r="A528" s="102"/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</row>
    <row r="529" spans="1:18" ht="12.75">
      <c r="A529" s="102"/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</row>
    <row r="530" spans="1:18" ht="12.75">
      <c r="A530" s="102"/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</row>
    <row r="531" spans="1:18" ht="12.75">
      <c r="A531" s="102"/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</row>
    <row r="532" spans="1:18" ht="12.75">
      <c r="A532" s="102"/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</row>
    <row r="533" spans="1:18" ht="12.75">
      <c r="A533" s="102"/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</row>
    <row r="534" spans="1:18" ht="12.75">
      <c r="A534" s="102"/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</row>
    <row r="535" spans="1:18" ht="12.75">
      <c r="A535" s="102"/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</row>
    <row r="536" spans="1:18" ht="12.75">
      <c r="A536" s="102"/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</row>
    <row r="537" spans="1:18" ht="12.75">
      <c r="A537" s="102"/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</row>
    <row r="538" spans="1:18" ht="12.75">
      <c r="A538" s="102"/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</row>
    <row r="539" spans="1:18" ht="12.75">
      <c r="A539" s="102"/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</row>
    <row r="540" spans="1:18" ht="12.75">
      <c r="A540" s="102"/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</row>
    <row r="541" spans="1:18" ht="12.75">
      <c r="A541" s="102"/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</row>
    <row r="542" spans="1:18" ht="12.75">
      <c r="A542" s="102"/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</row>
    <row r="543" spans="1:18" ht="12.75">
      <c r="A543" s="102"/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</row>
    <row r="544" spans="1:18" ht="12.75">
      <c r="A544" s="102"/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</row>
    <row r="545" spans="1:18" ht="12.75">
      <c r="A545" s="102"/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</row>
    <row r="546" spans="1:18" ht="12.75">
      <c r="A546" s="102"/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</row>
    <row r="547" spans="1:18" ht="12.75">
      <c r="A547" s="102"/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</row>
    <row r="548" spans="1:18" ht="12.75">
      <c r="A548" s="102"/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</row>
    <row r="549" spans="1:18" ht="12.75">
      <c r="A549" s="102"/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</row>
    <row r="550" spans="1:18" ht="12.75">
      <c r="A550" s="102"/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</row>
    <row r="551" spans="1:18" ht="12.75">
      <c r="A551" s="102"/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</row>
    <row r="552" spans="1:18" ht="12.75">
      <c r="A552" s="102"/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</row>
    <row r="553" spans="1:18" ht="12.75">
      <c r="A553" s="102"/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</row>
    <row r="554" spans="1:18" ht="12.75">
      <c r="A554" s="102"/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</row>
    <row r="555" spans="1:18" ht="12.75">
      <c r="A555" s="102"/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</row>
    <row r="556" spans="1:18" ht="12.75">
      <c r="A556" s="102"/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</row>
    <row r="557" spans="1:18" ht="12.75">
      <c r="A557" s="102"/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</row>
    <row r="558" spans="1:18" ht="12.75">
      <c r="A558" s="102"/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</row>
    <row r="559" spans="1:18" ht="12.75">
      <c r="A559" s="102"/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</row>
    <row r="560" spans="1:18" ht="12.75">
      <c r="A560" s="102"/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</row>
    <row r="561" spans="1:18" ht="12.75">
      <c r="A561" s="102"/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</row>
    <row r="562" spans="1:18" ht="12.75">
      <c r="A562" s="102"/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</row>
    <row r="563" spans="1:18" ht="12.75">
      <c r="A563" s="102"/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</row>
    <row r="564" spans="1:18" ht="12.75">
      <c r="A564" s="102"/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</row>
    <row r="565" spans="1:18" ht="12.75">
      <c r="A565" s="102"/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</row>
    <row r="566" spans="1:18" ht="12.75">
      <c r="A566" s="102"/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</row>
    <row r="567" spans="1:18" ht="12.75">
      <c r="A567" s="102"/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</row>
    <row r="568" spans="1:18" ht="12.75">
      <c r="A568" s="102"/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</row>
    <row r="569" spans="1:18" ht="12.75">
      <c r="A569" s="102"/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</row>
    <row r="570" spans="1:18" ht="12.75">
      <c r="A570" s="102"/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</row>
    <row r="571" spans="1:18" ht="12.75">
      <c r="A571" s="102"/>
      <c r="B571" s="103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</row>
    <row r="572" spans="1:18" ht="12.75">
      <c r="A572" s="102"/>
      <c r="B572" s="103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</row>
    <row r="573" spans="1:18" ht="12.75">
      <c r="A573" s="102"/>
      <c r="B573" s="103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</row>
    <row r="574" spans="1:18" ht="12.75">
      <c r="A574" s="102"/>
      <c r="B574" s="103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</row>
    <row r="575" spans="1:18" ht="12.75">
      <c r="A575" s="102"/>
      <c r="B575" s="103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</row>
    <row r="576" spans="1:18" ht="12.75">
      <c r="A576" s="102"/>
      <c r="B576" s="103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</row>
    <row r="577" spans="1:18" ht="12.75">
      <c r="A577" s="102"/>
      <c r="B577" s="103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</row>
    <row r="578" spans="1:18" ht="12.75">
      <c r="A578" s="102"/>
      <c r="B578" s="103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</row>
    <row r="579" spans="1:18" ht="12.75">
      <c r="A579" s="102"/>
      <c r="B579" s="103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</row>
    <row r="580" spans="1:18" ht="12.75">
      <c r="A580" s="102"/>
      <c r="B580" s="103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</row>
    <row r="581" spans="1:18" ht="12.75">
      <c r="A581" s="102"/>
      <c r="B581" s="103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</row>
  </sheetData>
  <sheetProtection/>
  <mergeCells count="6">
    <mergeCell ref="A23:C23"/>
    <mergeCell ref="F6:F7"/>
    <mergeCell ref="D6:E6"/>
    <mergeCell ref="A6:A7"/>
    <mergeCell ref="B6:B7"/>
    <mergeCell ref="C6:C7"/>
  </mergeCells>
  <printOptions horizontalCentered="1"/>
  <pageMargins left="0.87" right="0.32" top="0.27" bottom="0.19" header="0.24" footer="0.19"/>
  <pageSetup horizontalDpi="600" verticalDpi="600" orientation="portrait" paperSize="9" scale="70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61"/>
  <sheetViews>
    <sheetView showZeros="0" zoomScale="80" zoomScaleNormal="80" zoomScaleSheetLayoutView="75" zoomScalePageLayoutView="0" workbookViewId="0" topLeftCell="A8">
      <pane xSplit="2" ySplit="4" topLeftCell="C12" activePane="bottomRight" state="frozen"/>
      <selection pane="topLeft" activeCell="A8" sqref="A8"/>
      <selection pane="topRight" activeCell="C8" sqref="C8"/>
      <selection pane="bottomLeft" activeCell="A12" sqref="A12"/>
      <selection pane="bottomRight" activeCell="F45" sqref="F45"/>
    </sheetView>
  </sheetViews>
  <sheetFormatPr defaultColWidth="9.33203125" defaultRowHeight="12.75"/>
  <cols>
    <col min="1" max="1" width="10" style="9" customWidth="1"/>
    <col min="2" max="2" width="39.16015625" style="11" customWidth="1"/>
    <col min="3" max="3" width="18.66015625" style="10" customWidth="1"/>
    <col min="4" max="4" width="18.83203125" style="7" customWidth="1"/>
    <col min="5" max="5" width="17.83203125" style="7" customWidth="1"/>
    <col min="6" max="6" width="15.5" style="7" customWidth="1"/>
    <col min="7" max="7" width="16.83203125" style="7" customWidth="1"/>
    <col min="8" max="8" width="17.83203125" style="10" customWidth="1"/>
    <col min="9" max="9" width="18.83203125" style="7" customWidth="1"/>
    <col min="10" max="11" width="16.83203125" style="7" customWidth="1"/>
    <col min="12" max="12" width="17.16015625" style="7" customWidth="1"/>
    <col min="13" max="13" width="16" style="7" customWidth="1"/>
    <col min="14" max="14" width="18.33203125" style="10" customWidth="1"/>
    <col min="15" max="16384" width="9.33203125" style="7" customWidth="1"/>
  </cols>
  <sheetData>
    <row r="5" spans="1:14" ht="24" customHeight="1">
      <c r="A5" s="280" t="s">
        <v>34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</row>
    <row r="6" spans="1:14" ht="26.25" customHeight="1">
      <c r="A6" s="280" t="s">
        <v>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</row>
    <row r="7" ht="15.75" thickBot="1">
      <c r="N7" s="40" t="s">
        <v>23</v>
      </c>
    </row>
    <row r="8" spans="1:14" ht="21" customHeight="1" thickBot="1">
      <c r="A8" s="289" t="s">
        <v>16</v>
      </c>
      <c r="B8" s="300" t="s">
        <v>15</v>
      </c>
      <c r="C8" s="281" t="s">
        <v>4</v>
      </c>
      <c r="D8" s="282"/>
      <c r="E8" s="282"/>
      <c r="F8" s="282"/>
      <c r="G8" s="283"/>
      <c r="H8" s="287" t="s">
        <v>6</v>
      </c>
      <c r="I8" s="281"/>
      <c r="J8" s="281"/>
      <c r="K8" s="281"/>
      <c r="L8" s="281"/>
      <c r="M8" s="288"/>
      <c r="N8" s="284" t="s">
        <v>3</v>
      </c>
    </row>
    <row r="9" spans="1:14" ht="16.5" thickBot="1">
      <c r="A9" s="290"/>
      <c r="B9" s="301"/>
      <c r="C9" s="288" t="s">
        <v>5</v>
      </c>
      <c r="D9" s="287" t="s">
        <v>10</v>
      </c>
      <c r="E9" s="282"/>
      <c r="F9" s="282"/>
      <c r="G9" s="283"/>
      <c r="H9" s="302" t="s">
        <v>5</v>
      </c>
      <c r="I9" s="287" t="s">
        <v>10</v>
      </c>
      <c r="J9" s="282"/>
      <c r="K9" s="282"/>
      <c r="L9" s="282"/>
      <c r="M9" s="20"/>
      <c r="N9" s="285"/>
    </row>
    <row r="10" spans="1:14" ht="16.5" customHeight="1" thickBot="1">
      <c r="A10" s="290"/>
      <c r="B10" s="301"/>
      <c r="C10" s="293"/>
      <c r="D10" s="294" t="s">
        <v>7</v>
      </c>
      <c r="E10" s="287" t="s">
        <v>11</v>
      </c>
      <c r="F10" s="283"/>
      <c r="G10" s="296" t="s">
        <v>19</v>
      </c>
      <c r="H10" s="303"/>
      <c r="I10" s="294" t="s">
        <v>21</v>
      </c>
      <c r="J10" s="291" t="s">
        <v>11</v>
      </c>
      <c r="K10" s="292"/>
      <c r="L10" s="296" t="s">
        <v>19</v>
      </c>
      <c r="M10" s="296" t="s">
        <v>22</v>
      </c>
      <c r="N10" s="285"/>
    </row>
    <row r="11" spans="1:14" ht="54.75" customHeight="1" thickBot="1">
      <c r="A11" s="290"/>
      <c r="B11" s="301"/>
      <c r="C11" s="293"/>
      <c r="D11" s="295"/>
      <c r="E11" s="69" t="s">
        <v>17</v>
      </c>
      <c r="F11" s="70" t="s">
        <v>18</v>
      </c>
      <c r="G11" s="297"/>
      <c r="H11" s="303"/>
      <c r="I11" s="295"/>
      <c r="J11" s="69" t="s">
        <v>17</v>
      </c>
      <c r="K11" s="70" t="s">
        <v>18</v>
      </c>
      <c r="L11" s="297"/>
      <c r="M11" s="297"/>
      <c r="N11" s="286"/>
    </row>
    <row r="12" spans="1:14" s="24" customFormat="1" ht="17.25" customHeight="1" thickBot="1">
      <c r="A12" s="138">
        <v>1</v>
      </c>
      <c r="B12" s="147">
        <v>2</v>
      </c>
      <c r="C12" s="143">
        <v>3</v>
      </c>
      <c r="D12" s="72">
        <v>4</v>
      </c>
      <c r="E12" s="72">
        <v>5</v>
      </c>
      <c r="F12" s="72">
        <v>6</v>
      </c>
      <c r="G12" s="72">
        <v>7</v>
      </c>
      <c r="H12" s="71" t="s">
        <v>20</v>
      </c>
      <c r="I12" s="72">
        <v>9</v>
      </c>
      <c r="J12" s="72">
        <v>10</v>
      </c>
      <c r="K12" s="72">
        <v>11</v>
      </c>
      <c r="L12" s="72">
        <v>12</v>
      </c>
      <c r="M12" s="72">
        <v>13</v>
      </c>
      <c r="N12" s="73" t="s">
        <v>2</v>
      </c>
    </row>
    <row r="13" spans="1:15" ht="18.75" customHeight="1">
      <c r="A13" s="244" t="s">
        <v>66</v>
      </c>
      <c r="B13" s="242" t="s">
        <v>67</v>
      </c>
      <c r="C13" s="245">
        <f aca="true" t="shared" si="0" ref="C13:C18">D13+G13</f>
        <v>-413391</v>
      </c>
      <c r="D13" s="246">
        <f>'додаток 3'!D10-'додаток 3'!D24-'додаток 3'!D25-'додаток 3'!D26+'додаток 3'!D40+'додаток 3'!D41+'додаток 3'!D42</f>
        <v>-827337</v>
      </c>
      <c r="E13" s="246">
        <f>'додаток 3'!E10-'додаток 3'!E24-'додаток 3'!E25-'додаток 3'!E26+'додаток 3'!E40+'додаток 3'!E41+'додаток 3'!E42</f>
        <v>-296800</v>
      </c>
      <c r="F13" s="246">
        <f>'додаток 3'!F10-'додаток 3'!F24-'додаток 3'!F25-'додаток 3'!F26+'додаток 3'!F40+'додаток 3'!F41+'додаток 3'!F42</f>
        <v>147216</v>
      </c>
      <c r="G13" s="246">
        <f>'додаток 3'!G10-'додаток 3'!G24-'додаток 3'!G25-'додаток 3'!G26+'додаток 3'!G40+'додаток 3'!G41+'додаток 3'!G42</f>
        <v>413946</v>
      </c>
      <c r="H13" s="245">
        <f>I13+L13</f>
        <v>0</v>
      </c>
      <c r="I13" s="247"/>
      <c r="J13" s="247"/>
      <c r="K13" s="247"/>
      <c r="L13" s="246"/>
      <c r="M13" s="247"/>
      <c r="N13" s="248">
        <f aca="true" t="shared" si="1" ref="N13:N45">SUM(H13,C13)</f>
        <v>-413391</v>
      </c>
      <c r="O13" s="37"/>
    </row>
    <row r="14" spans="1:15" ht="19.5" customHeight="1">
      <c r="A14" s="139" t="s">
        <v>48</v>
      </c>
      <c r="B14" s="98" t="s">
        <v>49</v>
      </c>
      <c r="C14" s="137">
        <f t="shared" si="0"/>
        <v>1287020</v>
      </c>
      <c r="D14" s="83">
        <f>'додаток 3'!D27-'додаток 3'!D39-'додаток 3'!D40-'додаток 3'!D41-'додаток 3'!D42</f>
        <v>963576</v>
      </c>
      <c r="E14" s="83">
        <f>'додаток 3'!E27-'додаток 3'!E39-'додаток 3'!E40-'додаток 3'!E41-'додаток 3'!E42</f>
        <v>17700</v>
      </c>
      <c r="F14" s="83">
        <f>'додаток 3'!F27-'додаток 3'!F39-'додаток 3'!F40-'додаток 3'!F41-'додаток 3'!F42</f>
        <v>547110</v>
      </c>
      <c r="G14" s="83">
        <f>'додаток 3'!G27-'додаток 3'!G39-'додаток 3'!G40-'додаток 3'!G41-'додаток 3'!G42</f>
        <v>323444</v>
      </c>
      <c r="H14" s="137">
        <f>I14+L14</f>
        <v>0</v>
      </c>
      <c r="I14" s="82"/>
      <c r="J14" s="82"/>
      <c r="K14" s="82"/>
      <c r="L14" s="83"/>
      <c r="M14" s="82"/>
      <c r="N14" s="77">
        <f t="shared" si="1"/>
        <v>1287020</v>
      </c>
      <c r="O14" s="37"/>
    </row>
    <row r="15" spans="1:15" ht="33" customHeight="1">
      <c r="A15" s="186" t="s">
        <v>52</v>
      </c>
      <c r="B15" s="187" t="s">
        <v>53</v>
      </c>
      <c r="C15" s="137">
        <f t="shared" si="0"/>
        <v>395660</v>
      </c>
      <c r="D15" s="137">
        <f>D31+D32+D30+D27+D17+D24+D21+D22+D23+D25+D26+D29+D28+D16</f>
        <v>231960</v>
      </c>
      <c r="E15" s="137">
        <f>E31+E32+E30+E27+E17+E24+E21+E22+E23+E25+E26+E29+E28+E16</f>
        <v>177987</v>
      </c>
      <c r="F15" s="137">
        <f>F31+F32+F30+F27+F17+F24+F21+F22+F23+F25+F26+F29+F28+F16</f>
        <v>147182</v>
      </c>
      <c r="G15" s="137">
        <f>G31+G32+G30+G27+G17+G24+G21+G22+G23+G25+G26+G29+G28+G16</f>
        <v>163700</v>
      </c>
      <c r="H15" s="173"/>
      <c r="I15" s="173"/>
      <c r="J15" s="173"/>
      <c r="K15" s="173"/>
      <c r="L15" s="173"/>
      <c r="M15" s="173"/>
      <c r="N15" s="77">
        <f t="shared" si="1"/>
        <v>395660</v>
      </c>
      <c r="O15" s="37"/>
    </row>
    <row r="16" spans="1:15" ht="39" customHeight="1">
      <c r="A16" s="181" t="s">
        <v>234</v>
      </c>
      <c r="B16" s="200" t="s">
        <v>235</v>
      </c>
      <c r="C16" s="46">
        <f t="shared" si="0"/>
        <v>29500</v>
      </c>
      <c r="D16" s="41">
        <v>29500</v>
      </c>
      <c r="E16" s="41"/>
      <c r="F16" s="153"/>
      <c r="G16" s="153"/>
      <c r="H16" s="157"/>
      <c r="I16" s="153"/>
      <c r="J16" s="153"/>
      <c r="K16" s="153"/>
      <c r="L16" s="153"/>
      <c r="M16" s="153"/>
      <c r="N16" s="45">
        <f t="shared" si="1"/>
        <v>29500</v>
      </c>
      <c r="O16" s="37"/>
    </row>
    <row r="17" spans="1:15" ht="27" customHeight="1">
      <c r="A17" s="181" t="s">
        <v>110</v>
      </c>
      <c r="B17" s="200" t="s">
        <v>215</v>
      </c>
      <c r="C17" s="46">
        <f t="shared" si="0"/>
        <v>-20000</v>
      </c>
      <c r="D17" s="41">
        <v>-20000</v>
      </c>
      <c r="E17" s="41"/>
      <c r="F17" s="153"/>
      <c r="G17" s="153"/>
      <c r="H17" s="157"/>
      <c r="I17" s="153"/>
      <c r="J17" s="153"/>
      <c r="K17" s="153"/>
      <c r="L17" s="153"/>
      <c r="M17" s="153"/>
      <c r="N17" s="45">
        <f t="shared" si="1"/>
        <v>-20000</v>
      </c>
      <c r="O17" s="37"/>
    </row>
    <row r="18" spans="1:15" ht="18.75" customHeight="1">
      <c r="A18" s="181"/>
      <c r="B18" s="168" t="s">
        <v>216</v>
      </c>
      <c r="C18" s="46">
        <f t="shared" si="0"/>
        <v>-20000</v>
      </c>
      <c r="D18" s="41">
        <v>-20000</v>
      </c>
      <c r="E18" s="41"/>
      <c r="F18" s="153"/>
      <c r="G18" s="153"/>
      <c r="H18" s="157"/>
      <c r="I18" s="153"/>
      <c r="J18" s="153"/>
      <c r="K18" s="153"/>
      <c r="L18" s="153"/>
      <c r="M18" s="153"/>
      <c r="N18" s="45">
        <f t="shared" si="1"/>
        <v>-20000</v>
      </c>
      <c r="O18" s="37"/>
    </row>
    <row r="19" spans="1:15" ht="20.25" customHeight="1">
      <c r="A19" s="181"/>
      <c r="B19" s="168" t="s">
        <v>217</v>
      </c>
      <c r="C19" s="46"/>
      <c r="D19" s="41"/>
      <c r="E19" s="41"/>
      <c r="F19" s="153"/>
      <c r="G19" s="153"/>
      <c r="H19" s="157"/>
      <c r="I19" s="153"/>
      <c r="J19" s="153"/>
      <c r="K19" s="153"/>
      <c r="L19" s="153"/>
      <c r="M19" s="153"/>
      <c r="N19" s="45">
        <f t="shared" si="1"/>
        <v>0</v>
      </c>
      <c r="O19" s="37"/>
    </row>
    <row r="20" spans="1:15" ht="66" customHeight="1">
      <c r="A20" s="181" t="s">
        <v>111</v>
      </c>
      <c r="B20" s="200" t="s">
        <v>112</v>
      </c>
      <c r="C20" s="46">
        <f>SUM(G20,D20)</f>
        <v>-10000</v>
      </c>
      <c r="D20" s="41">
        <v>-10000</v>
      </c>
      <c r="E20" s="41"/>
      <c r="F20" s="153"/>
      <c r="G20" s="153"/>
      <c r="H20" s="157"/>
      <c r="I20" s="153"/>
      <c r="J20" s="153"/>
      <c r="K20" s="153"/>
      <c r="L20" s="153"/>
      <c r="M20" s="153"/>
      <c r="N20" s="45">
        <f t="shared" si="1"/>
        <v>-10000</v>
      </c>
      <c r="O20" s="37"/>
    </row>
    <row r="21" spans="1:15" ht="26.25" customHeight="1">
      <c r="A21" s="181" t="s">
        <v>153</v>
      </c>
      <c r="B21" s="154" t="s">
        <v>154</v>
      </c>
      <c r="C21" s="46">
        <f aca="true" t="shared" si="2" ref="C21:C29">D21+G21</f>
        <v>-101200</v>
      </c>
      <c r="D21" s="41">
        <v>-101200</v>
      </c>
      <c r="E21" s="41"/>
      <c r="F21" s="153"/>
      <c r="G21" s="153"/>
      <c r="H21" s="157"/>
      <c r="I21" s="153"/>
      <c r="J21" s="153"/>
      <c r="K21" s="153"/>
      <c r="L21" s="153"/>
      <c r="M21" s="153"/>
      <c r="N21" s="45">
        <f t="shared" si="1"/>
        <v>-101200</v>
      </c>
      <c r="O21" s="37"/>
    </row>
    <row r="22" spans="1:15" ht="30" customHeight="1">
      <c r="A22" s="181" t="s">
        <v>155</v>
      </c>
      <c r="B22" s="230" t="s">
        <v>156</v>
      </c>
      <c r="C22" s="46">
        <f t="shared" si="2"/>
        <v>-62000</v>
      </c>
      <c r="D22" s="41">
        <v>-62000</v>
      </c>
      <c r="E22" s="41"/>
      <c r="F22" s="153"/>
      <c r="G22" s="153"/>
      <c r="H22" s="157"/>
      <c r="I22" s="153"/>
      <c r="J22" s="153"/>
      <c r="K22" s="153"/>
      <c r="L22" s="153"/>
      <c r="M22" s="153"/>
      <c r="N22" s="45">
        <f t="shared" si="1"/>
        <v>-62000</v>
      </c>
      <c r="O22" s="37"/>
    </row>
    <row r="23" spans="1:15" ht="24.75" customHeight="1">
      <c r="A23" s="181" t="s">
        <v>157</v>
      </c>
      <c r="B23" s="154" t="s">
        <v>158</v>
      </c>
      <c r="C23" s="46">
        <f t="shared" si="2"/>
        <v>15000</v>
      </c>
      <c r="D23" s="41"/>
      <c r="E23" s="41"/>
      <c r="F23" s="41"/>
      <c r="G23" s="41">
        <v>15000</v>
      </c>
      <c r="H23" s="157"/>
      <c r="I23" s="153"/>
      <c r="J23" s="153"/>
      <c r="K23" s="153"/>
      <c r="L23" s="153"/>
      <c r="M23" s="153"/>
      <c r="N23" s="45">
        <f t="shared" si="1"/>
        <v>15000</v>
      </c>
      <c r="O23" s="37"/>
    </row>
    <row r="24" spans="1:15" ht="18.75" customHeight="1">
      <c r="A24" s="181" t="s">
        <v>114</v>
      </c>
      <c r="B24" s="209" t="s">
        <v>115</v>
      </c>
      <c r="C24" s="46">
        <f t="shared" si="2"/>
        <v>-7000</v>
      </c>
      <c r="D24" s="41">
        <f>-7000</f>
        <v>-7000</v>
      </c>
      <c r="E24" s="41">
        <v>2201</v>
      </c>
      <c r="F24" s="41">
        <f>19350</f>
        <v>19350</v>
      </c>
      <c r="G24" s="153"/>
      <c r="H24" s="157"/>
      <c r="I24" s="153"/>
      <c r="J24" s="153"/>
      <c r="K24" s="153"/>
      <c r="L24" s="153"/>
      <c r="M24" s="153"/>
      <c r="N24" s="45">
        <f t="shared" si="1"/>
        <v>-7000</v>
      </c>
      <c r="O24" s="37"/>
    </row>
    <row r="25" spans="1:15" ht="25.5" customHeight="1">
      <c r="A25" s="181" t="s">
        <v>151</v>
      </c>
      <c r="B25" s="209" t="s">
        <v>152</v>
      </c>
      <c r="C25" s="46">
        <f t="shared" si="2"/>
        <v>0</v>
      </c>
      <c r="D25" s="41"/>
      <c r="E25" s="41">
        <v>1473</v>
      </c>
      <c r="F25" s="153"/>
      <c r="G25" s="153"/>
      <c r="H25" s="157"/>
      <c r="I25" s="153"/>
      <c r="J25" s="153"/>
      <c r="K25" s="153"/>
      <c r="L25" s="153"/>
      <c r="M25" s="153"/>
      <c r="N25" s="45">
        <f t="shared" si="1"/>
        <v>0</v>
      </c>
      <c r="O25" s="37"/>
    </row>
    <row r="26" spans="1:15" ht="40.5" customHeight="1">
      <c r="A26" s="181" t="s">
        <v>159</v>
      </c>
      <c r="B26" s="168" t="s">
        <v>160</v>
      </c>
      <c r="C26" s="46">
        <f t="shared" si="2"/>
        <v>206632</v>
      </c>
      <c r="D26" s="41">
        <f>10000+101632</f>
        <v>111632</v>
      </c>
      <c r="E26" s="41">
        <v>13000</v>
      </c>
      <c r="F26" s="41">
        <v>101632</v>
      </c>
      <c r="G26" s="41">
        <v>95000</v>
      </c>
      <c r="H26" s="157"/>
      <c r="I26" s="153"/>
      <c r="J26" s="153"/>
      <c r="K26" s="153"/>
      <c r="L26" s="153"/>
      <c r="M26" s="153"/>
      <c r="N26" s="45">
        <f t="shared" si="1"/>
        <v>206632</v>
      </c>
      <c r="O26" s="37"/>
    </row>
    <row r="27" spans="1:15" ht="30" customHeight="1">
      <c r="A27" s="181" t="s">
        <v>108</v>
      </c>
      <c r="B27" s="200" t="s">
        <v>109</v>
      </c>
      <c r="C27" s="46">
        <f t="shared" si="2"/>
        <v>31057</v>
      </c>
      <c r="D27" s="41">
        <f>30357+700</f>
        <v>31057</v>
      </c>
      <c r="E27" s="41">
        <v>23313</v>
      </c>
      <c r="F27" s="41">
        <v>700</v>
      </c>
      <c r="G27" s="153"/>
      <c r="H27" s="157"/>
      <c r="I27" s="153"/>
      <c r="J27" s="153"/>
      <c r="K27" s="153"/>
      <c r="L27" s="153"/>
      <c r="M27" s="153"/>
      <c r="N27" s="45">
        <f t="shared" si="1"/>
        <v>31057</v>
      </c>
      <c r="O27" s="37"/>
    </row>
    <row r="28" spans="1:15" ht="30" customHeight="1">
      <c r="A28" s="181" t="s">
        <v>226</v>
      </c>
      <c r="B28" s="168" t="s">
        <v>227</v>
      </c>
      <c r="C28" s="46">
        <f t="shared" si="2"/>
        <v>50000</v>
      </c>
      <c r="D28" s="41">
        <v>50000</v>
      </c>
      <c r="E28" s="41"/>
      <c r="F28" s="41"/>
      <c r="G28" s="153"/>
      <c r="H28" s="157"/>
      <c r="I28" s="153"/>
      <c r="J28" s="153"/>
      <c r="K28" s="153"/>
      <c r="L28" s="153"/>
      <c r="M28" s="153"/>
      <c r="N28" s="45">
        <f t="shared" si="1"/>
        <v>50000</v>
      </c>
      <c r="O28" s="37"/>
    </row>
    <row r="29" spans="1:15" ht="30" customHeight="1">
      <c r="A29" s="181" t="s">
        <v>162</v>
      </c>
      <c r="B29" s="168" t="s">
        <v>163</v>
      </c>
      <c r="C29" s="46">
        <f t="shared" si="2"/>
        <v>1500</v>
      </c>
      <c r="D29" s="41">
        <v>1500</v>
      </c>
      <c r="E29" s="41"/>
      <c r="F29" s="41">
        <v>1500</v>
      </c>
      <c r="G29" s="153"/>
      <c r="H29" s="157"/>
      <c r="I29" s="153"/>
      <c r="J29" s="153"/>
      <c r="K29" s="153"/>
      <c r="L29" s="153"/>
      <c r="M29" s="153"/>
      <c r="N29" s="45">
        <f t="shared" si="1"/>
        <v>1500</v>
      </c>
      <c r="O29" s="37"/>
    </row>
    <row r="30" spans="1:15" ht="63" customHeight="1">
      <c r="A30" s="181" t="s">
        <v>88</v>
      </c>
      <c r="B30" s="200" t="s">
        <v>89</v>
      </c>
      <c r="C30" s="46">
        <f>SUM(G30,D30)</f>
        <v>-23029</v>
      </c>
      <c r="D30" s="41">
        <v>-23029</v>
      </c>
      <c r="E30" s="41"/>
      <c r="F30" s="153"/>
      <c r="G30" s="153"/>
      <c r="H30" s="157"/>
      <c r="I30" s="153"/>
      <c r="J30" s="153"/>
      <c r="K30" s="153"/>
      <c r="L30" s="153"/>
      <c r="M30" s="153"/>
      <c r="N30" s="45">
        <f t="shared" si="1"/>
        <v>-23029</v>
      </c>
      <c r="O30" s="37"/>
    </row>
    <row r="31" spans="1:15" ht="30.75" customHeight="1">
      <c r="A31" s="181" t="s">
        <v>69</v>
      </c>
      <c r="B31" s="200" t="s">
        <v>70</v>
      </c>
      <c r="C31" s="46">
        <f aca="true" t="shared" si="3" ref="C31:C38">D31+G31</f>
        <v>216000</v>
      </c>
      <c r="D31" s="41">
        <f>188000+4000+24000</f>
        <v>216000</v>
      </c>
      <c r="E31" s="41">
        <v>138000</v>
      </c>
      <c r="F31" s="41">
        <v>24000</v>
      </c>
      <c r="G31" s="41"/>
      <c r="H31" s="157"/>
      <c r="I31" s="153"/>
      <c r="J31" s="153"/>
      <c r="K31" s="153"/>
      <c r="L31" s="153"/>
      <c r="M31" s="153"/>
      <c r="N31" s="45">
        <f t="shared" si="1"/>
        <v>216000</v>
      </c>
      <c r="O31" s="37"/>
    </row>
    <row r="32" spans="1:15" ht="42" customHeight="1">
      <c r="A32" s="181" t="s">
        <v>61</v>
      </c>
      <c r="B32" s="168" t="s">
        <v>62</v>
      </c>
      <c r="C32" s="46">
        <f t="shared" si="3"/>
        <v>59200</v>
      </c>
      <c r="D32" s="41">
        <v>5500</v>
      </c>
      <c r="E32" s="41"/>
      <c r="F32" s="41"/>
      <c r="G32" s="41">
        <v>53700</v>
      </c>
      <c r="H32" s="157"/>
      <c r="I32" s="153"/>
      <c r="J32" s="153"/>
      <c r="K32" s="153"/>
      <c r="L32" s="153"/>
      <c r="M32" s="153"/>
      <c r="N32" s="45">
        <f t="shared" si="1"/>
        <v>59200</v>
      </c>
      <c r="O32" s="37"/>
    </row>
    <row r="33" spans="1:15" ht="24.75" customHeight="1">
      <c r="A33" s="139">
        <v>110000</v>
      </c>
      <c r="B33" s="98" t="s">
        <v>145</v>
      </c>
      <c r="C33" s="174">
        <f t="shared" si="3"/>
        <v>461821.49</v>
      </c>
      <c r="D33" s="174">
        <f>'додаток 3'!D39+'додаток 3'!D65</f>
        <v>310303.49</v>
      </c>
      <c r="E33" s="174">
        <f>'додаток 3'!E39+'додаток 3'!E65</f>
        <v>0</v>
      </c>
      <c r="F33" s="137">
        <f>'додаток 3'!F39+'додаток 3'!F65</f>
        <v>51100</v>
      </c>
      <c r="G33" s="137">
        <f>'додаток 3'!G39+'додаток 3'!G65</f>
        <v>151518</v>
      </c>
      <c r="H33" s="173"/>
      <c r="I33" s="137"/>
      <c r="J33" s="137"/>
      <c r="K33" s="137"/>
      <c r="L33" s="137"/>
      <c r="M33" s="173"/>
      <c r="N33" s="77">
        <f t="shared" si="1"/>
        <v>461821.49</v>
      </c>
      <c r="O33" s="37"/>
    </row>
    <row r="34" spans="1:15" ht="24.75" customHeight="1">
      <c r="A34" s="139">
        <v>130000</v>
      </c>
      <c r="B34" s="98" t="s">
        <v>54</v>
      </c>
      <c r="C34" s="137">
        <f t="shared" si="3"/>
        <v>34368</v>
      </c>
      <c r="D34" s="137">
        <f>'додаток 3'!D25+'додаток 3'!D26+'додаток 3'!D77</f>
        <v>13368</v>
      </c>
      <c r="E34" s="137">
        <f>'додаток 3'!E25+'додаток 3'!E26+'додаток 3'!E77</f>
        <v>0</v>
      </c>
      <c r="F34" s="137">
        <f>'додаток 3'!F25+'додаток 3'!F26+'додаток 3'!F77</f>
        <v>8368</v>
      </c>
      <c r="G34" s="137">
        <f>'додаток 3'!G25+'додаток 3'!G26+'додаток 3'!G77</f>
        <v>21000</v>
      </c>
      <c r="H34" s="173"/>
      <c r="I34" s="173"/>
      <c r="J34" s="173"/>
      <c r="K34" s="173"/>
      <c r="L34" s="173"/>
      <c r="M34" s="173"/>
      <c r="N34" s="77">
        <f t="shared" si="1"/>
        <v>34368</v>
      </c>
      <c r="O34" s="37"/>
    </row>
    <row r="35" spans="1:15" ht="48" customHeight="1">
      <c r="A35" s="139" t="s">
        <v>224</v>
      </c>
      <c r="B35" s="98" t="s">
        <v>225</v>
      </c>
      <c r="C35" s="137">
        <f t="shared" si="3"/>
        <v>-50000</v>
      </c>
      <c r="D35" s="137">
        <f>D36</f>
        <v>-50000</v>
      </c>
      <c r="E35" s="137"/>
      <c r="F35" s="137"/>
      <c r="G35" s="137"/>
      <c r="H35" s="173"/>
      <c r="I35" s="173"/>
      <c r="J35" s="173"/>
      <c r="K35" s="173"/>
      <c r="L35" s="173"/>
      <c r="M35" s="173"/>
      <c r="N35" s="77">
        <f t="shared" si="1"/>
        <v>-50000</v>
      </c>
      <c r="O35" s="37"/>
    </row>
    <row r="36" spans="1:15" ht="43.5" customHeight="1">
      <c r="A36" s="239" t="s">
        <v>221</v>
      </c>
      <c r="B36" s="243" t="s">
        <v>222</v>
      </c>
      <c r="C36" s="46">
        <f t="shared" si="3"/>
        <v>-50000</v>
      </c>
      <c r="D36" s="41">
        <v>-50000</v>
      </c>
      <c r="E36" s="153"/>
      <c r="F36" s="153"/>
      <c r="G36" s="153"/>
      <c r="H36" s="46"/>
      <c r="I36" s="153"/>
      <c r="J36" s="153"/>
      <c r="K36" s="153"/>
      <c r="L36" s="153"/>
      <c r="M36" s="153"/>
      <c r="N36" s="45">
        <f t="shared" si="1"/>
        <v>-50000</v>
      </c>
      <c r="O36" s="37"/>
    </row>
    <row r="37" spans="1:15" s="35" customFormat="1" ht="36.75" customHeight="1">
      <c r="A37" s="186">
        <v>180000</v>
      </c>
      <c r="B37" s="187" t="s">
        <v>146</v>
      </c>
      <c r="C37" s="174">
        <f t="shared" si="3"/>
        <v>-157578.49</v>
      </c>
      <c r="D37" s="217">
        <f>D38+D39</f>
        <v>-157578.49</v>
      </c>
      <c r="E37" s="217">
        <f>E38+E39</f>
        <v>0</v>
      </c>
      <c r="F37" s="217">
        <f>F38+F39</f>
        <v>0</v>
      </c>
      <c r="G37" s="217">
        <f>G38+G39</f>
        <v>0</v>
      </c>
      <c r="H37" s="196"/>
      <c r="I37" s="197"/>
      <c r="J37" s="197"/>
      <c r="K37" s="197"/>
      <c r="L37" s="197"/>
      <c r="M37" s="197"/>
      <c r="N37" s="218">
        <f>H37+C37</f>
        <v>-157578.49</v>
      </c>
      <c r="O37" s="37"/>
    </row>
    <row r="38" spans="1:15" ht="28.5" customHeight="1">
      <c r="A38" s="239" t="s">
        <v>129</v>
      </c>
      <c r="B38" s="243" t="s">
        <v>228</v>
      </c>
      <c r="C38" s="46">
        <f t="shared" si="3"/>
        <v>-149000</v>
      </c>
      <c r="D38" s="41">
        <v>-149000</v>
      </c>
      <c r="E38" s="153"/>
      <c r="F38" s="153"/>
      <c r="G38" s="153"/>
      <c r="H38" s="46"/>
      <c r="I38" s="153"/>
      <c r="J38" s="153"/>
      <c r="K38" s="153"/>
      <c r="L38" s="153"/>
      <c r="M38" s="153"/>
      <c r="N38" s="45">
        <f>SUM(H38,C38)</f>
        <v>-149000</v>
      </c>
      <c r="O38" s="37"/>
    </row>
    <row r="39" spans="1:15" ht="27" customHeight="1">
      <c r="A39" s="239" t="s">
        <v>125</v>
      </c>
      <c r="B39" s="168" t="s">
        <v>126</v>
      </c>
      <c r="C39" s="170">
        <f>SUM(G39,D39)</f>
        <v>-8578.49</v>
      </c>
      <c r="D39" s="212">
        <v>-8578.49</v>
      </c>
      <c r="E39" s="153"/>
      <c r="F39" s="153"/>
      <c r="G39" s="153"/>
      <c r="H39" s="46"/>
      <c r="I39" s="153"/>
      <c r="J39" s="153"/>
      <c r="K39" s="153"/>
      <c r="L39" s="153"/>
      <c r="M39" s="153"/>
      <c r="N39" s="216">
        <f>SUM(H39,C39)</f>
        <v>-8578.49</v>
      </c>
      <c r="O39" s="37"/>
    </row>
    <row r="40" spans="1:15" s="36" customFormat="1" ht="44.25" customHeight="1">
      <c r="A40" s="140">
        <v>210000</v>
      </c>
      <c r="B40" s="148" t="s">
        <v>105</v>
      </c>
      <c r="C40" s="137">
        <f>D40+G40</f>
        <v>10000</v>
      </c>
      <c r="D40" s="144">
        <f>D41</f>
        <v>10000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98">
        <f>H40+C40</f>
        <v>10000</v>
      </c>
      <c r="O40" s="38"/>
    </row>
    <row r="41" spans="1:15" ht="28.5" customHeight="1">
      <c r="A41" s="160">
        <v>210110</v>
      </c>
      <c r="B41" s="168" t="s">
        <v>104</v>
      </c>
      <c r="C41" s="46">
        <f>SUM(G41,D41)</f>
        <v>10000</v>
      </c>
      <c r="D41" s="153">
        <v>10000</v>
      </c>
      <c r="E41" s="153"/>
      <c r="F41" s="153"/>
      <c r="G41" s="153"/>
      <c r="H41" s="46"/>
      <c r="I41" s="153"/>
      <c r="J41" s="153"/>
      <c r="K41" s="153"/>
      <c r="L41" s="153"/>
      <c r="M41" s="153"/>
      <c r="N41" s="45">
        <f>SUM(H41,C41)</f>
        <v>10000</v>
      </c>
      <c r="O41" s="37"/>
    </row>
    <row r="42" spans="1:15" s="36" customFormat="1" ht="30.75" customHeight="1">
      <c r="A42" s="140" t="s">
        <v>13</v>
      </c>
      <c r="B42" s="148" t="s">
        <v>0</v>
      </c>
      <c r="C42" s="144">
        <f>C43+C44</f>
        <v>-179574</v>
      </c>
      <c r="D42" s="144">
        <f aca="true" t="shared" si="4" ref="D42:N42">D43+D44</f>
        <v>-10074</v>
      </c>
      <c r="E42" s="144">
        <f t="shared" si="4"/>
        <v>-18</v>
      </c>
      <c r="F42" s="144">
        <f>F43+F44+F45</f>
        <v>-570</v>
      </c>
      <c r="G42" s="144">
        <f t="shared" si="4"/>
        <v>0</v>
      </c>
      <c r="H42" s="144">
        <f t="shared" si="4"/>
        <v>0</v>
      </c>
      <c r="I42" s="144">
        <f t="shared" si="4"/>
        <v>0</v>
      </c>
      <c r="J42" s="144">
        <f t="shared" si="4"/>
        <v>0</v>
      </c>
      <c r="K42" s="144">
        <f t="shared" si="4"/>
        <v>0</v>
      </c>
      <c r="L42" s="144">
        <f t="shared" si="4"/>
        <v>0</v>
      </c>
      <c r="M42" s="144">
        <f t="shared" si="4"/>
        <v>0</v>
      </c>
      <c r="N42" s="249">
        <f t="shared" si="4"/>
        <v>-179574</v>
      </c>
      <c r="O42" s="38"/>
    </row>
    <row r="43" spans="1:15" ht="20.25" customHeight="1">
      <c r="A43" s="160" t="s">
        <v>85</v>
      </c>
      <c r="B43" s="85" t="s">
        <v>83</v>
      </c>
      <c r="C43" s="46">
        <f>-140000-29500</f>
        <v>-169500</v>
      </c>
      <c r="D43" s="184"/>
      <c r="E43" s="156"/>
      <c r="F43" s="153"/>
      <c r="G43" s="153"/>
      <c r="H43" s="157"/>
      <c r="I43" s="153"/>
      <c r="J43" s="153"/>
      <c r="K43" s="153"/>
      <c r="L43" s="153"/>
      <c r="M43" s="153"/>
      <c r="N43" s="45">
        <f t="shared" si="1"/>
        <v>-169500</v>
      </c>
      <c r="O43" s="37"/>
    </row>
    <row r="44" spans="1:15" ht="55.5" customHeight="1">
      <c r="A44" s="160" t="s">
        <v>150</v>
      </c>
      <c r="B44" s="238" t="s">
        <v>214</v>
      </c>
      <c r="C44" s="46">
        <f>D44+G44</f>
        <v>-10074</v>
      </c>
      <c r="D44" s="184">
        <v>-10074</v>
      </c>
      <c r="E44" s="156">
        <v>-18</v>
      </c>
      <c r="F44" s="153"/>
      <c r="G44" s="153"/>
      <c r="H44" s="157"/>
      <c r="I44" s="153"/>
      <c r="J44" s="153"/>
      <c r="K44" s="153"/>
      <c r="L44" s="153"/>
      <c r="M44" s="153"/>
      <c r="N44" s="45">
        <f t="shared" si="1"/>
        <v>-10074</v>
      </c>
      <c r="O44" s="37"/>
    </row>
    <row r="45" spans="1:15" ht="39.75" customHeight="1" thickBot="1">
      <c r="A45" s="181" t="s">
        <v>238</v>
      </c>
      <c r="B45" s="168" t="s">
        <v>239</v>
      </c>
      <c r="C45" s="266"/>
      <c r="D45" s="267"/>
      <c r="E45" s="268"/>
      <c r="F45" s="264">
        <v>-570</v>
      </c>
      <c r="G45" s="264"/>
      <c r="H45" s="269"/>
      <c r="I45" s="264"/>
      <c r="J45" s="264"/>
      <c r="K45" s="264"/>
      <c r="L45" s="264"/>
      <c r="M45" s="264"/>
      <c r="N45" s="45">
        <f t="shared" si="1"/>
        <v>0</v>
      </c>
      <c r="O45" s="37"/>
    </row>
    <row r="46" spans="1:15" s="66" customFormat="1" ht="24.75" customHeight="1" thickBot="1">
      <c r="A46" s="175"/>
      <c r="B46" s="176" t="s">
        <v>27</v>
      </c>
      <c r="C46" s="178">
        <f>C42+C14+C15+C34+C13+C40+C33+C37+C35</f>
        <v>1388326</v>
      </c>
      <c r="D46" s="178">
        <f aca="true" t="shared" si="5" ref="D46:N46">D42+D14+D15+D34+D13+D40+D33+D37+D35</f>
        <v>484218</v>
      </c>
      <c r="E46" s="178">
        <f t="shared" si="5"/>
        <v>-101131</v>
      </c>
      <c r="F46" s="178">
        <f t="shared" si="5"/>
        <v>900406</v>
      </c>
      <c r="G46" s="178">
        <f t="shared" si="5"/>
        <v>1073608</v>
      </c>
      <c r="H46" s="178">
        <f t="shared" si="5"/>
        <v>0</v>
      </c>
      <c r="I46" s="178">
        <f t="shared" si="5"/>
        <v>0</v>
      </c>
      <c r="J46" s="178">
        <f t="shared" si="5"/>
        <v>0</v>
      </c>
      <c r="K46" s="178">
        <f t="shared" si="5"/>
        <v>0</v>
      </c>
      <c r="L46" s="178">
        <f t="shared" si="5"/>
        <v>0</v>
      </c>
      <c r="M46" s="178">
        <f t="shared" si="5"/>
        <v>0</v>
      </c>
      <c r="N46" s="178">
        <f t="shared" si="5"/>
        <v>1388326</v>
      </c>
      <c r="O46" s="65"/>
    </row>
    <row r="47" spans="1:15" s="36" customFormat="1" ht="21" customHeight="1">
      <c r="A47" s="141"/>
      <c r="B47" s="149" t="s">
        <v>14</v>
      </c>
      <c r="C47" s="145">
        <f>C57+C53+C52+C49+C50+C51+C48+C58+C56</f>
        <v>34368387</v>
      </c>
      <c r="D47" s="145">
        <f>D57+D53+D52+D49+D50+D51+D48+D58+D56</f>
        <v>34368387</v>
      </c>
      <c r="E47" s="145">
        <f aca="true" t="shared" si="6" ref="E47:N47">E57+E53+E52+E49+E50+E51+E48+E58+E56</f>
        <v>0</v>
      </c>
      <c r="F47" s="145">
        <f t="shared" si="6"/>
        <v>0</v>
      </c>
      <c r="G47" s="145">
        <f t="shared" si="6"/>
        <v>0</v>
      </c>
      <c r="H47" s="145">
        <f t="shared" si="6"/>
        <v>65588</v>
      </c>
      <c r="I47" s="145">
        <f t="shared" si="6"/>
        <v>65588</v>
      </c>
      <c r="J47" s="145">
        <f t="shared" si="6"/>
        <v>0</v>
      </c>
      <c r="K47" s="145">
        <f t="shared" si="6"/>
        <v>0</v>
      </c>
      <c r="L47" s="145">
        <f t="shared" si="6"/>
        <v>0</v>
      </c>
      <c r="M47" s="145">
        <f t="shared" si="6"/>
        <v>0</v>
      </c>
      <c r="N47" s="145">
        <f t="shared" si="6"/>
        <v>34433975</v>
      </c>
      <c r="O47" s="38"/>
    </row>
    <row r="48" spans="1:15" ht="30.75" customHeight="1">
      <c r="A48" s="203"/>
      <c r="B48" s="235" t="s">
        <v>148</v>
      </c>
      <c r="C48" s="81">
        <f>SUM(G48,D48)</f>
        <v>16736000</v>
      </c>
      <c r="D48" s="43">
        <v>16736000</v>
      </c>
      <c r="E48" s="43"/>
      <c r="F48" s="43"/>
      <c r="G48" s="43"/>
      <c r="H48" s="55"/>
      <c r="I48" s="177"/>
      <c r="J48" s="43"/>
      <c r="K48" s="43"/>
      <c r="L48" s="43"/>
      <c r="M48" s="43"/>
      <c r="N48" s="47">
        <f aca="true" t="shared" si="7" ref="N48:N58">SUM(H48,C48)</f>
        <v>16736000</v>
      </c>
      <c r="O48" s="37"/>
    </row>
    <row r="49" spans="1:15" ht="80.25" customHeight="1">
      <c r="A49" s="160">
        <v>250326</v>
      </c>
      <c r="B49" s="168" t="s">
        <v>98</v>
      </c>
      <c r="C49" s="46">
        <f>SUM(G49,D49)</f>
        <v>31441900</v>
      </c>
      <c r="D49" s="43">
        <v>31441900</v>
      </c>
      <c r="E49" s="43"/>
      <c r="F49" s="43"/>
      <c r="G49" s="43"/>
      <c r="H49" s="55"/>
      <c r="I49" s="177"/>
      <c r="J49" s="43"/>
      <c r="K49" s="43"/>
      <c r="L49" s="43"/>
      <c r="M49" s="43"/>
      <c r="N49" s="47">
        <f t="shared" si="7"/>
        <v>31441900</v>
      </c>
      <c r="O49" s="37"/>
    </row>
    <row r="50" spans="1:15" ht="107.25" customHeight="1">
      <c r="A50" s="160">
        <v>250328</v>
      </c>
      <c r="B50" s="85" t="s">
        <v>95</v>
      </c>
      <c r="C50" s="46">
        <f>SUM(G50,D50)</f>
        <v>-6452900</v>
      </c>
      <c r="D50" s="43">
        <v>-6452900</v>
      </c>
      <c r="E50" s="43"/>
      <c r="F50" s="43"/>
      <c r="G50" s="43"/>
      <c r="H50" s="55"/>
      <c r="I50" s="177"/>
      <c r="J50" s="43"/>
      <c r="K50" s="43"/>
      <c r="L50" s="43"/>
      <c r="M50" s="43"/>
      <c r="N50" s="47">
        <f t="shared" si="7"/>
        <v>-6452900</v>
      </c>
      <c r="O50" s="37"/>
    </row>
    <row r="51" spans="1:15" ht="82.5" customHeight="1">
      <c r="A51" s="160" t="s">
        <v>96</v>
      </c>
      <c r="B51" s="85" t="s">
        <v>97</v>
      </c>
      <c r="C51" s="46">
        <f>SUM(G51,D51)</f>
        <v>-23326700</v>
      </c>
      <c r="D51" s="43">
        <v>-23326700</v>
      </c>
      <c r="E51" s="43"/>
      <c r="F51" s="43"/>
      <c r="G51" s="43"/>
      <c r="H51" s="55"/>
      <c r="I51" s="177"/>
      <c r="J51" s="43"/>
      <c r="K51" s="43"/>
      <c r="L51" s="43"/>
      <c r="M51" s="43"/>
      <c r="N51" s="47">
        <f t="shared" si="7"/>
        <v>-23326700</v>
      </c>
      <c r="O51" s="37"/>
    </row>
    <row r="52" spans="1:15" ht="82.5" customHeight="1">
      <c r="A52" s="203" t="s">
        <v>99</v>
      </c>
      <c r="B52" s="85" t="s">
        <v>100</v>
      </c>
      <c r="C52" s="81">
        <f>D52+G52</f>
        <v>187713</v>
      </c>
      <c r="D52" s="177">
        <v>187713</v>
      </c>
      <c r="E52" s="44"/>
      <c r="F52" s="44"/>
      <c r="G52" s="177"/>
      <c r="H52" s="46"/>
      <c r="I52" s="166"/>
      <c r="J52" s="153"/>
      <c r="K52" s="153"/>
      <c r="L52" s="153"/>
      <c r="M52" s="153"/>
      <c r="N52" s="47">
        <f t="shared" si="7"/>
        <v>187713</v>
      </c>
      <c r="O52" s="37"/>
    </row>
    <row r="53" spans="1:14" ht="21" customHeight="1">
      <c r="A53" s="163" t="s">
        <v>84</v>
      </c>
      <c r="B53" s="85" t="s">
        <v>116</v>
      </c>
      <c r="C53" s="46">
        <f aca="true" t="shared" si="8" ref="C53:C58">SUM(G53,D53)</f>
        <v>9000</v>
      </c>
      <c r="D53" s="153">
        <f>D54+D55</f>
        <v>9000</v>
      </c>
      <c r="E53" s="153">
        <f>E54+E55</f>
        <v>0</v>
      </c>
      <c r="F53" s="153">
        <f>F54+F55</f>
        <v>0</v>
      </c>
      <c r="G53" s="153">
        <f>G54+G55</f>
        <v>0</v>
      </c>
      <c r="H53" s="46"/>
      <c r="I53" s="166"/>
      <c r="J53" s="81"/>
      <c r="K53" s="81"/>
      <c r="L53" s="153"/>
      <c r="M53" s="81"/>
      <c r="N53" s="45">
        <f t="shared" si="7"/>
        <v>9000</v>
      </c>
    </row>
    <row r="54" spans="1:14" ht="30" customHeight="1">
      <c r="A54" s="163"/>
      <c r="B54" s="85" t="s">
        <v>117</v>
      </c>
      <c r="C54" s="46">
        <f t="shared" si="8"/>
        <v>-35000</v>
      </c>
      <c r="D54" s="153">
        <v>-35000</v>
      </c>
      <c r="E54" s="81"/>
      <c r="F54" s="81"/>
      <c r="G54" s="166"/>
      <c r="H54" s="46"/>
      <c r="I54" s="166"/>
      <c r="J54" s="81"/>
      <c r="K54" s="81"/>
      <c r="L54" s="153"/>
      <c r="M54" s="81"/>
      <c r="N54" s="45">
        <f t="shared" si="7"/>
        <v>-35000</v>
      </c>
    </row>
    <row r="55" spans="1:14" ht="41.25" customHeight="1">
      <c r="A55" s="241"/>
      <c r="B55" s="243" t="s">
        <v>118</v>
      </c>
      <c r="C55" s="46">
        <f t="shared" si="8"/>
        <v>44000</v>
      </c>
      <c r="D55" s="153">
        <v>44000</v>
      </c>
      <c r="E55" s="81"/>
      <c r="F55" s="81"/>
      <c r="G55" s="166"/>
      <c r="H55" s="46"/>
      <c r="I55" s="166"/>
      <c r="J55" s="81"/>
      <c r="K55" s="81"/>
      <c r="L55" s="153"/>
      <c r="M55" s="81"/>
      <c r="N55" s="45">
        <f t="shared" si="7"/>
        <v>44000</v>
      </c>
    </row>
    <row r="56" spans="1:14" ht="81.75" customHeight="1">
      <c r="A56" s="160" t="s">
        <v>232</v>
      </c>
      <c r="B56" s="168" t="s">
        <v>149</v>
      </c>
      <c r="C56" s="46">
        <f t="shared" si="8"/>
        <v>-1046826</v>
      </c>
      <c r="D56" s="43">
        <v>-1046826</v>
      </c>
      <c r="E56" s="81"/>
      <c r="F56" s="81"/>
      <c r="G56" s="166"/>
      <c r="H56" s="46"/>
      <c r="I56" s="166"/>
      <c r="J56" s="81"/>
      <c r="K56" s="81"/>
      <c r="L56" s="153"/>
      <c r="M56" s="81"/>
      <c r="N56" s="45">
        <f t="shared" si="7"/>
        <v>-1046826</v>
      </c>
    </row>
    <row r="57" spans="1:14" ht="172.5" customHeight="1">
      <c r="A57" s="258" t="s">
        <v>80</v>
      </c>
      <c r="B57" s="161" t="s">
        <v>81</v>
      </c>
      <c r="C57" s="46">
        <f t="shared" si="8"/>
        <v>0</v>
      </c>
      <c r="D57" s="43"/>
      <c r="E57" s="44"/>
      <c r="F57" s="44"/>
      <c r="G57" s="43"/>
      <c r="H57" s="55">
        <f>I57+L57</f>
        <v>65588</v>
      </c>
      <c r="I57" s="166">
        <v>65588</v>
      </c>
      <c r="J57" s="44"/>
      <c r="K57" s="44"/>
      <c r="L57" s="43"/>
      <c r="M57" s="44"/>
      <c r="N57" s="45">
        <f t="shared" si="7"/>
        <v>65588</v>
      </c>
    </row>
    <row r="58" spans="1:14" ht="78.75" customHeight="1" thickBot="1">
      <c r="A58" s="155" t="s">
        <v>230</v>
      </c>
      <c r="B58" s="168" t="s">
        <v>229</v>
      </c>
      <c r="C58" s="46">
        <f t="shared" si="8"/>
        <v>16820200</v>
      </c>
      <c r="D58" s="254">
        <v>16820200</v>
      </c>
      <c r="E58" s="255"/>
      <c r="F58" s="255"/>
      <c r="G58" s="254"/>
      <c r="H58" s="256"/>
      <c r="I58" s="257"/>
      <c r="J58" s="255"/>
      <c r="K58" s="255"/>
      <c r="L58" s="254"/>
      <c r="M58" s="255"/>
      <c r="N58" s="45">
        <f t="shared" si="7"/>
        <v>16820200</v>
      </c>
    </row>
    <row r="59" spans="1:15" s="35" customFormat="1" ht="25.5" customHeight="1" thickBot="1">
      <c r="A59" s="142"/>
      <c r="B59" s="150" t="s">
        <v>32</v>
      </c>
      <c r="C59" s="146">
        <f>C46+C47</f>
        <v>35756713</v>
      </c>
      <c r="D59" s="74">
        <f aca="true" t="shared" si="9" ref="D59:M59">D46+D47</f>
        <v>34852605</v>
      </c>
      <c r="E59" s="74">
        <f t="shared" si="9"/>
        <v>-101131</v>
      </c>
      <c r="F59" s="74">
        <f t="shared" si="9"/>
        <v>900406</v>
      </c>
      <c r="G59" s="74">
        <f t="shared" si="9"/>
        <v>1073608</v>
      </c>
      <c r="H59" s="74">
        <f t="shared" si="9"/>
        <v>65588</v>
      </c>
      <c r="I59" s="74">
        <f t="shared" si="9"/>
        <v>65588</v>
      </c>
      <c r="J59" s="74">
        <f t="shared" si="9"/>
        <v>0</v>
      </c>
      <c r="K59" s="74">
        <f t="shared" si="9"/>
        <v>0</v>
      </c>
      <c r="L59" s="74">
        <f t="shared" si="9"/>
        <v>0</v>
      </c>
      <c r="M59" s="74">
        <f t="shared" si="9"/>
        <v>0</v>
      </c>
      <c r="N59" s="75">
        <f>N46+N47</f>
        <v>35822301</v>
      </c>
      <c r="O59" s="37"/>
    </row>
    <row r="60" spans="1:14" ht="15.75">
      <c r="A60" s="11"/>
      <c r="C60" s="25"/>
      <c r="D60" s="26"/>
      <c r="E60" s="26"/>
      <c r="F60" s="26"/>
      <c r="G60" s="26"/>
      <c r="H60" s="25"/>
      <c r="I60" s="26"/>
      <c r="J60" s="26"/>
      <c r="K60" s="26"/>
      <c r="L60" s="26"/>
      <c r="M60" s="26"/>
      <c r="N60" s="25"/>
    </row>
    <row r="61" spans="1:14" ht="21.75" customHeight="1">
      <c r="A61" s="11"/>
      <c r="B61" s="299" t="s">
        <v>68</v>
      </c>
      <c r="C61" s="299"/>
      <c r="D61" s="299"/>
      <c r="E61" s="27"/>
      <c r="F61" s="29"/>
      <c r="G61" s="30"/>
      <c r="H61" s="31"/>
      <c r="I61" s="30"/>
      <c r="J61" s="298" t="s">
        <v>63</v>
      </c>
      <c r="K61" s="298"/>
      <c r="L61" s="26"/>
      <c r="M61" s="26"/>
      <c r="N61" s="25"/>
    </row>
  </sheetData>
  <sheetProtection/>
  <mergeCells count="20">
    <mergeCell ref="A6:N6"/>
    <mergeCell ref="D9:G9"/>
    <mergeCell ref="E10:F10"/>
    <mergeCell ref="J61:K61"/>
    <mergeCell ref="B61:D61"/>
    <mergeCell ref="B8:B11"/>
    <mergeCell ref="H9:H11"/>
    <mergeCell ref="I10:I11"/>
    <mergeCell ref="L10:L11"/>
    <mergeCell ref="M10:M11"/>
    <mergeCell ref="A5:N5"/>
    <mergeCell ref="C8:G8"/>
    <mergeCell ref="N8:N11"/>
    <mergeCell ref="H8:M8"/>
    <mergeCell ref="A8:A11"/>
    <mergeCell ref="I9:L9"/>
    <mergeCell ref="J10:K10"/>
    <mergeCell ref="C9:C11"/>
    <mergeCell ref="D10:D11"/>
    <mergeCell ref="G10:G11"/>
  </mergeCells>
  <printOptions horizontalCentered="1"/>
  <pageMargins left="0.1968503937007874" right="0" top="0.22" bottom="0.23" header="0.17" footer="0.1968503937007874"/>
  <pageSetup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2"/>
  <sheetViews>
    <sheetView showZeros="0" tabSelected="1" zoomScale="75" zoomScaleNormal="75" zoomScaleSheetLayoutView="50" zoomScalePageLayoutView="0" workbookViewId="0" topLeftCell="A4">
      <pane xSplit="2" ySplit="4" topLeftCell="C6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B80" sqref="B80"/>
    </sheetView>
  </sheetViews>
  <sheetFormatPr defaultColWidth="9.33203125" defaultRowHeight="12.75"/>
  <cols>
    <col min="1" max="1" width="12" style="17" customWidth="1"/>
    <col min="2" max="2" width="42" style="12" customWidth="1"/>
    <col min="3" max="3" width="20.66015625" style="1" customWidth="1"/>
    <col min="4" max="4" width="21" style="0" customWidth="1"/>
    <col min="5" max="5" width="19.5" style="0" customWidth="1"/>
    <col min="6" max="6" width="20.16015625" style="0" customWidth="1"/>
    <col min="7" max="7" width="20.83203125" style="0" customWidth="1"/>
    <col min="8" max="8" width="20.83203125" style="5" customWidth="1"/>
    <col min="9" max="9" width="18.33203125" style="0" customWidth="1"/>
    <col min="10" max="10" width="19.16015625" style="0" customWidth="1"/>
    <col min="11" max="11" width="19" style="0" customWidth="1"/>
    <col min="12" max="12" width="18.66015625" style="0" customWidth="1"/>
    <col min="13" max="13" width="19.16015625" style="0" customWidth="1"/>
    <col min="14" max="14" width="20.16015625" style="1" customWidth="1"/>
  </cols>
  <sheetData>
    <row r="1" spans="1:3" ht="12.75">
      <c r="A1" s="53"/>
      <c r="B1" s="52"/>
      <c r="C1" s="54"/>
    </row>
    <row r="2" spans="1:14" ht="105" customHeight="1" thickBot="1">
      <c r="A2" s="14"/>
      <c r="B2" s="52"/>
      <c r="N2" s="13" t="s">
        <v>33</v>
      </c>
    </row>
    <row r="3" spans="1:14" ht="26.25" customHeight="1" thickBot="1">
      <c r="A3" s="304" t="s">
        <v>25</v>
      </c>
      <c r="B3" s="50" t="s">
        <v>12</v>
      </c>
      <c r="C3" s="281" t="s">
        <v>4</v>
      </c>
      <c r="D3" s="282"/>
      <c r="E3" s="282"/>
      <c r="F3" s="282"/>
      <c r="G3" s="283"/>
      <c r="H3" s="287" t="s">
        <v>6</v>
      </c>
      <c r="I3" s="281"/>
      <c r="J3" s="281"/>
      <c r="K3" s="281"/>
      <c r="L3" s="281"/>
      <c r="M3" s="288"/>
      <c r="N3" s="284" t="s">
        <v>3</v>
      </c>
    </row>
    <row r="4" spans="1:14" ht="16.5" thickBot="1">
      <c r="A4" s="305"/>
      <c r="B4" s="48"/>
      <c r="C4" s="288" t="s">
        <v>5</v>
      </c>
      <c r="D4" s="287" t="s">
        <v>10</v>
      </c>
      <c r="E4" s="282"/>
      <c r="F4" s="282"/>
      <c r="G4" s="283"/>
      <c r="H4" s="302" t="s">
        <v>5</v>
      </c>
      <c r="I4" s="287" t="s">
        <v>10</v>
      </c>
      <c r="J4" s="282"/>
      <c r="K4" s="282"/>
      <c r="L4" s="282"/>
      <c r="M4" s="20"/>
      <c r="N4" s="285"/>
    </row>
    <row r="5" spans="1:14" ht="23.25" customHeight="1" thickBot="1">
      <c r="A5" s="306"/>
      <c r="B5" s="48"/>
      <c r="C5" s="293"/>
      <c r="D5" s="294" t="s">
        <v>7</v>
      </c>
      <c r="E5" s="287" t="s">
        <v>11</v>
      </c>
      <c r="F5" s="283"/>
      <c r="G5" s="296" t="s">
        <v>19</v>
      </c>
      <c r="H5" s="303"/>
      <c r="I5" s="294" t="s">
        <v>21</v>
      </c>
      <c r="J5" s="291" t="s">
        <v>11</v>
      </c>
      <c r="K5" s="292"/>
      <c r="L5" s="296" t="s">
        <v>19</v>
      </c>
      <c r="M5" s="296" t="s">
        <v>22</v>
      </c>
      <c r="N5" s="285"/>
    </row>
    <row r="6" spans="1:14" ht="68.25" customHeight="1" thickBot="1">
      <c r="A6" s="49" t="s">
        <v>24</v>
      </c>
      <c r="B6" s="51" t="s">
        <v>26</v>
      </c>
      <c r="C6" s="292"/>
      <c r="D6" s="309"/>
      <c r="E6" s="21" t="s">
        <v>17</v>
      </c>
      <c r="F6" s="22" t="s">
        <v>18</v>
      </c>
      <c r="G6" s="307"/>
      <c r="H6" s="310"/>
      <c r="I6" s="309"/>
      <c r="J6" s="21" t="s">
        <v>17</v>
      </c>
      <c r="K6" s="22" t="s">
        <v>18</v>
      </c>
      <c r="L6" s="307"/>
      <c r="M6" s="307"/>
      <c r="N6" s="308"/>
    </row>
    <row r="7" spans="1:14" ht="22.5" customHeight="1">
      <c r="A7" s="188">
        <v>1</v>
      </c>
      <c r="B7" s="67">
        <v>2</v>
      </c>
      <c r="C7" s="189">
        <v>3</v>
      </c>
      <c r="D7" s="190">
        <v>4</v>
      </c>
      <c r="E7" s="190">
        <v>5</v>
      </c>
      <c r="F7" s="190">
        <v>6</v>
      </c>
      <c r="G7" s="190">
        <v>7</v>
      </c>
      <c r="H7" s="191" t="s">
        <v>20</v>
      </c>
      <c r="I7" s="190">
        <v>9</v>
      </c>
      <c r="J7" s="190">
        <v>10</v>
      </c>
      <c r="K7" s="190">
        <v>11</v>
      </c>
      <c r="L7" s="190">
        <v>12</v>
      </c>
      <c r="M7" s="190">
        <v>13</v>
      </c>
      <c r="N7" s="192" t="s">
        <v>2</v>
      </c>
    </row>
    <row r="8" spans="1:14" s="8" customFormat="1" ht="20.25" customHeight="1">
      <c r="A8" s="164" t="s">
        <v>93</v>
      </c>
      <c r="B8" s="61" t="s">
        <v>94</v>
      </c>
      <c r="C8" s="58">
        <f aca="true" t="shared" si="0" ref="C8:C84">D8+G8</f>
        <v>-10074</v>
      </c>
      <c r="D8" s="167">
        <f>D9</f>
        <v>-10074</v>
      </c>
      <c r="E8" s="167">
        <f>E9</f>
        <v>-18</v>
      </c>
      <c r="F8" s="167"/>
      <c r="G8" s="167"/>
      <c r="H8" s="58"/>
      <c r="I8" s="167"/>
      <c r="J8" s="167"/>
      <c r="K8" s="167"/>
      <c r="L8" s="167"/>
      <c r="M8" s="167"/>
      <c r="N8" s="60">
        <f aca="true" t="shared" si="1" ref="N8:N77">SUM(H8,C8)</f>
        <v>-10074</v>
      </c>
    </row>
    <row r="9" spans="1:14" ht="39.75" customHeight="1">
      <c r="A9" s="162" t="s">
        <v>150</v>
      </c>
      <c r="B9" s="201" t="s">
        <v>214</v>
      </c>
      <c r="C9" s="46">
        <f>D9+G9</f>
        <v>-10074</v>
      </c>
      <c r="D9" s="184">
        <v>-10074</v>
      </c>
      <c r="E9" s="41">
        <v>-18</v>
      </c>
      <c r="F9" s="41"/>
      <c r="G9" s="41"/>
      <c r="H9" s="55"/>
      <c r="I9" s="41"/>
      <c r="J9" s="41"/>
      <c r="K9" s="41"/>
      <c r="L9" s="41"/>
      <c r="M9" s="41"/>
      <c r="N9" s="45">
        <f t="shared" si="1"/>
        <v>-10074</v>
      </c>
    </row>
    <row r="10" spans="1:14" s="8" customFormat="1" ht="20.25" customHeight="1">
      <c r="A10" s="164" t="s">
        <v>64</v>
      </c>
      <c r="B10" s="61" t="s">
        <v>65</v>
      </c>
      <c r="C10" s="58">
        <f t="shared" si="0"/>
        <v>0</v>
      </c>
      <c r="D10" s="167">
        <f>SUM(D11:D26)</f>
        <v>-492646</v>
      </c>
      <c r="E10" s="167">
        <f>SUM(E11:E26)</f>
        <v>-271800</v>
      </c>
      <c r="F10" s="167">
        <f>SUM(F11:F26)</f>
        <v>153316</v>
      </c>
      <c r="G10" s="167">
        <f>SUM(G11:G26)</f>
        <v>492646</v>
      </c>
      <c r="H10" s="58">
        <f>I10+L10</f>
        <v>0</v>
      </c>
      <c r="I10" s="167">
        <f>I12</f>
        <v>0</v>
      </c>
      <c r="J10" s="167">
        <f>J12</f>
        <v>0</v>
      </c>
      <c r="K10" s="167">
        <f>K12</f>
        <v>0</v>
      </c>
      <c r="L10" s="167">
        <f>L12</f>
        <v>0</v>
      </c>
      <c r="M10" s="167">
        <f>M12</f>
        <v>0</v>
      </c>
      <c r="N10" s="60">
        <f t="shared" si="1"/>
        <v>0</v>
      </c>
    </row>
    <row r="11" spans="1:14" ht="27.75" customHeight="1">
      <c r="A11" s="162" t="s">
        <v>91</v>
      </c>
      <c r="B11" s="201" t="s">
        <v>92</v>
      </c>
      <c r="C11" s="158">
        <f aca="true" t="shared" si="2" ref="C11:C26">SUM(G11,D11)</f>
        <v>61812</v>
      </c>
      <c r="D11" s="41">
        <v>56088</v>
      </c>
      <c r="E11" s="41"/>
      <c r="F11" s="41">
        <v>14000</v>
      </c>
      <c r="G11" s="41">
        <v>5724</v>
      </c>
      <c r="H11" s="55"/>
      <c r="I11" s="41"/>
      <c r="J11" s="41"/>
      <c r="K11" s="41"/>
      <c r="L11" s="41"/>
      <c r="M11" s="41"/>
      <c r="N11" s="45">
        <f t="shared" si="1"/>
        <v>61812</v>
      </c>
    </row>
    <row r="12" spans="1:14" ht="36.75" customHeight="1">
      <c r="A12" s="162" t="s">
        <v>75</v>
      </c>
      <c r="B12" s="201" t="s">
        <v>76</v>
      </c>
      <c r="C12" s="158">
        <f t="shared" si="2"/>
        <v>-572151</v>
      </c>
      <c r="D12" s="41">
        <v>-622151</v>
      </c>
      <c r="E12" s="41">
        <v>-272000</v>
      </c>
      <c r="F12" s="41">
        <v>-107718</v>
      </c>
      <c r="G12" s="41">
        <v>50000</v>
      </c>
      <c r="H12" s="55">
        <f>I12+L12</f>
        <v>0</v>
      </c>
      <c r="I12" s="41"/>
      <c r="J12" s="41"/>
      <c r="K12" s="41"/>
      <c r="L12" s="41"/>
      <c r="M12" s="41"/>
      <c r="N12" s="45">
        <f t="shared" si="1"/>
        <v>-572151</v>
      </c>
    </row>
    <row r="13" spans="1:14" ht="27.75" customHeight="1">
      <c r="A13" s="162" t="s">
        <v>77</v>
      </c>
      <c r="B13" s="202" t="s">
        <v>78</v>
      </c>
      <c r="C13" s="158">
        <f t="shared" si="2"/>
        <v>27500</v>
      </c>
      <c r="D13" s="41">
        <v>13500</v>
      </c>
      <c r="E13" s="41"/>
      <c r="F13" s="41">
        <v>27750</v>
      </c>
      <c r="G13" s="41">
        <v>14000</v>
      </c>
      <c r="H13" s="55">
        <f>I13+L13</f>
        <v>0</v>
      </c>
      <c r="I13" s="23"/>
      <c r="J13" s="23"/>
      <c r="K13" s="23"/>
      <c r="L13" s="43"/>
      <c r="M13" s="23"/>
      <c r="N13" s="45">
        <f t="shared" si="1"/>
        <v>27500</v>
      </c>
    </row>
    <row r="14" spans="1:14" ht="54" customHeight="1">
      <c r="A14" s="162" t="s">
        <v>164</v>
      </c>
      <c r="B14" s="201" t="s">
        <v>165</v>
      </c>
      <c r="C14" s="158">
        <f t="shared" si="2"/>
        <v>114468</v>
      </c>
      <c r="D14" s="41">
        <v>136328</v>
      </c>
      <c r="E14" s="41"/>
      <c r="F14" s="234">
        <v>159538</v>
      </c>
      <c r="G14" s="41">
        <v>-21860</v>
      </c>
      <c r="H14" s="46"/>
      <c r="I14" s="23"/>
      <c r="J14" s="23"/>
      <c r="K14" s="23"/>
      <c r="L14" s="43"/>
      <c r="M14" s="23"/>
      <c r="N14" s="45">
        <f t="shared" si="1"/>
        <v>114468</v>
      </c>
    </row>
    <row r="15" spans="1:14" ht="93.75" customHeight="1">
      <c r="A15" s="162" t="s">
        <v>86</v>
      </c>
      <c r="B15" s="201" t="s">
        <v>87</v>
      </c>
      <c r="C15" s="158">
        <f t="shared" si="2"/>
        <v>237040</v>
      </c>
      <c r="D15" s="41">
        <v>-18300</v>
      </c>
      <c r="E15" s="41"/>
      <c r="F15" s="234">
        <v>39700</v>
      </c>
      <c r="G15" s="41">
        <v>255340</v>
      </c>
      <c r="H15" s="46"/>
      <c r="I15" s="23"/>
      <c r="J15" s="23"/>
      <c r="K15" s="23"/>
      <c r="L15" s="43"/>
      <c r="M15" s="23"/>
      <c r="N15" s="45">
        <f t="shared" si="1"/>
        <v>237040</v>
      </c>
    </row>
    <row r="16" spans="1:14" ht="27.75" customHeight="1">
      <c r="A16" s="185" t="s">
        <v>166</v>
      </c>
      <c r="B16" s="154" t="s">
        <v>167</v>
      </c>
      <c r="C16" s="158">
        <f t="shared" si="2"/>
        <v>-65028</v>
      </c>
      <c r="D16" s="41">
        <v>-8470</v>
      </c>
      <c r="E16" s="41">
        <v>-8000</v>
      </c>
      <c r="F16" s="234">
        <v>3590</v>
      </c>
      <c r="G16" s="41">
        <v>-56558</v>
      </c>
      <c r="H16" s="46"/>
      <c r="I16" s="23"/>
      <c r="J16" s="23"/>
      <c r="K16" s="23"/>
      <c r="L16" s="43"/>
      <c r="M16" s="23"/>
      <c r="N16" s="45">
        <f t="shared" si="1"/>
        <v>-65028</v>
      </c>
    </row>
    <row r="17" spans="1:14" ht="29.25" customHeight="1">
      <c r="A17" s="185" t="s">
        <v>168</v>
      </c>
      <c r="B17" s="154" t="s">
        <v>169</v>
      </c>
      <c r="C17" s="158">
        <f t="shared" si="2"/>
        <v>301585</v>
      </c>
      <c r="D17" s="41">
        <v>1585</v>
      </c>
      <c r="E17" s="41">
        <v>9200</v>
      </c>
      <c r="F17" s="234">
        <v>-3480</v>
      </c>
      <c r="G17" s="41">
        <v>300000</v>
      </c>
      <c r="H17" s="46"/>
      <c r="I17" s="23"/>
      <c r="J17" s="23"/>
      <c r="K17" s="23"/>
      <c r="L17" s="43"/>
      <c r="M17" s="23"/>
      <c r="N17" s="45">
        <f t="shared" si="1"/>
        <v>301585</v>
      </c>
    </row>
    <row r="18" spans="1:14" ht="28.5" customHeight="1">
      <c r="A18" s="185" t="s">
        <v>170</v>
      </c>
      <c r="B18" s="154" t="s">
        <v>171</v>
      </c>
      <c r="C18" s="158">
        <f t="shared" si="2"/>
        <v>-34879</v>
      </c>
      <c r="D18" s="41">
        <v>-14879</v>
      </c>
      <c r="E18" s="41"/>
      <c r="F18" s="234"/>
      <c r="G18" s="41">
        <v>-20000</v>
      </c>
      <c r="H18" s="46"/>
      <c r="I18" s="23"/>
      <c r="J18" s="23"/>
      <c r="K18" s="23"/>
      <c r="L18" s="43"/>
      <c r="M18" s="23"/>
      <c r="N18" s="45">
        <f t="shared" si="1"/>
        <v>-34879</v>
      </c>
    </row>
    <row r="19" spans="1:14" ht="27.75" customHeight="1">
      <c r="A19" s="185" t="s">
        <v>172</v>
      </c>
      <c r="B19" s="154" t="s">
        <v>173</v>
      </c>
      <c r="C19" s="158">
        <f t="shared" si="2"/>
        <v>2100</v>
      </c>
      <c r="D19" s="41">
        <v>2100</v>
      </c>
      <c r="E19" s="41"/>
      <c r="F19" s="234">
        <v>2400</v>
      </c>
      <c r="G19" s="41"/>
      <c r="H19" s="46"/>
      <c r="I19" s="23"/>
      <c r="J19" s="23"/>
      <c r="K19" s="23"/>
      <c r="L19" s="43"/>
      <c r="M19" s="23"/>
      <c r="N19" s="45">
        <f t="shared" si="1"/>
        <v>2100</v>
      </c>
    </row>
    <row r="20" spans="1:14" ht="18.75" customHeight="1">
      <c r="A20" s="185" t="s">
        <v>174</v>
      </c>
      <c r="B20" s="154" t="s">
        <v>175</v>
      </c>
      <c r="C20" s="158">
        <f t="shared" si="2"/>
        <v>10312</v>
      </c>
      <c r="D20" s="41">
        <v>10312</v>
      </c>
      <c r="E20" s="41"/>
      <c r="F20" s="234">
        <v>10700</v>
      </c>
      <c r="G20" s="41"/>
      <c r="H20" s="46"/>
      <c r="I20" s="23"/>
      <c r="J20" s="23"/>
      <c r="K20" s="23"/>
      <c r="L20" s="43"/>
      <c r="M20" s="23"/>
      <c r="N20" s="45">
        <f t="shared" si="1"/>
        <v>10312</v>
      </c>
    </row>
    <row r="21" spans="1:14" ht="28.5" customHeight="1">
      <c r="A21" s="185" t="s">
        <v>176</v>
      </c>
      <c r="B21" s="154" t="s">
        <v>177</v>
      </c>
      <c r="C21" s="158">
        <f t="shared" si="2"/>
        <v>8700</v>
      </c>
      <c r="D21" s="41">
        <v>8700</v>
      </c>
      <c r="E21" s="41"/>
      <c r="F21" s="234">
        <v>6700</v>
      </c>
      <c r="G21" s="41"/>
      <c r="H21" s="46"/>
      <c r="I21" s="23"/>
      <c r="J21" s="23"/>
      <c r="K21" s="23"/>
      <c r="L21" s="43"/>
      <c r="M21" s="23"/>
      <c r="N21" s="45">
        <f t="shared" si="1"/>
        <v>8700</v>
      </c>
    </row>
    <row r="22" spans="1:14" ht="25.5" customHeight="1">
      <c r="A22" s="185" t="s">
        <v>178</v>
      </c>
      <c r="B22" s="154" t="s">
        <v>179</v>
      </c>
      <c r="C22" s="158">
        <f t="shared" si="2"/>
        <v>-6764</v>
      </c>
      <c r="D22" s="41">
        <v>-6764</v>
      </c>
      <c r="E22" s="41"/>
      <c r="F22" s="234">
        <v>-6264</v>
      </c>
      <c r="G22" s="41"/>
      <c r="H22" s="46"/>
      <c r="I22" s="23"/>
      <c r="J22" s="23"/>
      <c r="K22" s="23"/>
      <c r="L22" s="43"/>
      <c r="M22" s="23"/>
      <c r="N22" s="45">
        <f t="shared" si="1"/>
        <v>-6764</v>
      </c>
    </row>
    <row r="23" spans="1:14" ht="16.5" customHeight="1">
      <c r="A23" s="185" t="s">
        <v>90</v>
      </c>
      <c r="B23" s="154" t="s">
        <v>183</v>
      </c>
      <c r="C23" s="158">
        <f t="shared" si="2"/>
        <v>-94066</v>
      </c>
      <c r="D23" s="41">
        <v>-39066</v>
      </c>
      <c r="E23" s="41">
        <v>-1000</v>
      </c>
      <c r="F23" s="41"/>
      <c r="G23" s="41">
        <v>-55000</v>
      </c>
      <c r="H23" s="46"/>
      <c r="I23" s="23"/>
      <c r="J23" s="23"/>
      <c r="K23" s="23"/>
      <c r="L23" s="43"/>
      <c r="M23" s="23"/>
      <c r="N23" s="45">
        <f t="shared" si="1"/>
        <v>-94066</v>
      </c>
    </row>
    <row r="24" spans="1:14" ht="64.5" customHeight="1">
      <c r="A24" s="162" t="s">
        <v>88</v>
      </c>
      <c r="B24" s="85" t="s">
        <v>89</v>
      </c>
      <c r="C24" s="158">
        <f t="shared" si="2"/>
        <v>-23029</v>
      </c>
      <c r="D24" s="41">
        <v>-23029</v>
      </c>
      <c r="E24" s="41"/>
      <c r="F24" s="159"/>
      <c r="G24" s="41"/>
      <c r="H24" s="46"/>
      <c r="I24" s="23"/>
      <c r="J24" s="23"/>
      <c r="K24" s="23"/>
      <c r="L24" s="43"/>
      <c r="M24" s="23"/>
      <c r="N24" s="45">
        <f t="shared" si="1"/>
        <v>-23029</v>
      </c>
    </row>
    <row r="25" spans="1:14" ht="27.75" customHeight="1">
      <c r="A25" s="162" t="s">
        <v>180</v>
      </c>
      <c r="B25" s="168" t="s">
        <v>181</v>
      </c>
      <c r="C25" s="158">
        <f t="shared" si="2"/>
        <v>5000</v>
      </c>
      <c r="D25" s="41">
        <v>5000</v>
      </c>
      <c r="E25" s="41"/>
      <c r="F25" s="159"/>
      <c r="G25" s="41"/>
      <c r="H25" s="46"/>
      <c r="I25" s="23"/>
      <c r="J25" s="23"/>
      <c r="K25" s="23"/>
      <c r="L25" s="43"/>
      <c r="M25" s="23"/>
      <c r="N25" s="45">
        <f t="shared" si="1"/>
        <v>5000</v>
      </c>
    </row>
    <row r="26" spans="1:14" ht="28.5" customHeight="1">
      <c r="A26" s="162" t="s">
        <v>73</v>
      </c>
      <c r="B26" s="154" t="s">
        <v>182</v>
      </c>
      <c r="C26" s="158">
        <f t="shared" si="2"/>
        <v>27400</v>
      </c>
      <c r="D26" s="41">
        <v>6400</v>
      </c>
      <c r="E26" s="41"/>
      <c r="F26" s="41">
        <v>6400</v>
      </c>
      <c r="G26" s="41">
        <v>21000</v>
      </c>
      <c r="H26" s="46"/>
      <c r="I26" s="23"/>
      <c r="J26" s="23"/>
      <c r="K26" s="23"/>
      <c r="L26" s="43"/>
      <c r="M26" s="23"/>
      <c r="N26" s="45">
        <f t="shared" si="1"/>
        <v>27400</v>
      </c>
    </row>
    <row r="27" spans="1:14" s="8" customFormat="1" ht="23.25" customHeight="1">
      <c r="A27" s="164" t="s">
        <v>46</v>
      </c>
      <c r="B27" s="61" t="s">
        <v>47</v>
      </c>
      <c r="C27" s="58">
        <f t="shared" si="0"/>
        <v>884500</v>
      </c>
      <c r="D27" s="167">
        <f>SUM(D28:D42)</f>
        <v>618756</v>
      </c>
      <c r="E27" s="167">
        <f>SUM(E28:E42)</f>
        <v>-7300</v>
      </c>
      <c r="F27" s="167">
        <f>SUM(F28:F42)</f>
        <v>548910</v>
      </c>
      <c r="G27" s="167">
        <f>SUM(G28:G42)</f>
        <v>265744</v>
      </c>
      <c r="H27" s="58">
        <f>I27+L27</f>
        <v>0</v>
      </c>
      <c r="I27" s="167">
        <f>I29+I37+I42</f>
        <v>0</v>
      </c>
      <c r="J27" s="167">
        <f>J29+J37+J42</f>
        <v>0</v>
      </c>
      <c r="K27" s="167">
        <f>K29+K37+K42</f>
        <v>0</v>
      </c>
      <c r="L27" s="167">
        <f>L29+L37+L42</f>
        <v>0</v>
      </c>
      <c r="M27" s="167">
        <f>M29+M37+M42</f>
        <v>0</v>
      </c>
      <c r="N27" s="60">
        <f t="shared" si="1"/>
        <v>884500</v>
      </c>
    </row>
    <row r="28" spans="1:14" s="8" customFormat="1" ht="18.75" customHeight="1">
      <c r="A28" s="162" t="s">
        <v>193</v>
      </c>
      <c r="B28" s="154" t="s">
        <v>194</v>
      </c>
      <c r="C28" s="46">
        <f t="shared" si="0"/>
        <v>428600</v>
      </c>
      <c r="D28" s="41">
        <f>319000+109600</f>
        <v>428600</v>
      </c>
      <c r="E28" s="41"/>
      <c r="F28" s="41">
        <v>319000</v>
      </c>
      <c r="G28" s="157"/>
      <c r="H28" s="55"/>
      <c r="I28" s="41"/>
      <c r="J28" s="41"/>
      <c r="K28" s="41"/>
      <c r="L28" s="41"/>
      <c r="M28" s="41"/>
      <c r="N28" s="45">
        <f t="shared" si="1"/>
        <v>428600</v>
      </c>
    </row>
    <row r="29" spans="1:14" s="8" customFormat="1" ht="24" customHeight="1">
      <c r="A29" s="162" t="s">
        <v>59</v>
      </c>
      <c r="B29" s="154" t="s">
        <v>60</v>
      </c>
      <c r="C29" s="46">
        <f t="shared" si="0"/>
        <v>720193</v>
      </c>
      <c r="D29" s="41">
        <f>50000+373200+78549</f>
        <v>501749</v>
      </c>
      <c r="E29" s="41">
        <f>15000+100000</f>
        <v>115000</v>
      </c>
      <c r="F29" s="41">
        <f>373200-69590-136000</f>
        <v>167610</v>
      </c>
      <c r="G29" s="157">
        <f>80000+138444</f>
        <v>218444</v>
      </c>
      <c r="H29" s="55"/>
      <c r="I29" s="41"/>
      <c r="J29" s="41"/>
      <c r="K29" s="41"/>
      <c r="L29" s="41"/>
      <c r="M29" s="41"/>
      <c r="N29" s="45">
        <f t="shared" si="1"/>
        <v>720193</v>
      </c>
    </row>
    <row r="30" spans="1:14" s="8" customFormat="1" ht="20.25" customHeight="1">
      <c r="A30" s="162" t="s">
        <v>210</v>
      </c>
      <c r="B30" s="154" t="s">
        <v>211</v>
      </c>
      <c r="C30" s="46">
        <f t="shared" si="0"/>
        <v>-12700</v>
      </c>
      <c r="D30" s="41">
        <f>5000-125700</f>
        <v>-120700</v>
      </c>
      <c r="E30" s="41">
        <v>-97300</v>
      </c>
      <c r="F30" s="41">
        <v>5000</v>
      </c>
      <c r="G30" s="157">
        <v>108000</v>
      </c>
      <c r="H30" s="55"/>
      <c r="I30" s="41"/>
      <c r="J30" s="41"/>
      <c r="K30" s="41"/>
      <c r="L30" s="41"/>
      <c r="M30" s="41"/>
      <c r="N30" s="45">
        <f t="shared" si="1"/>
        <v>-12700</v>
      </c>
    </row>
    <row r="31" spans="1:14" s="8" customFormat="1" ht="24" customHeight="1">
      <c r="A31" s="185" t="s">
        <v>195</v>
      </c>
      <c r="B31" s="154" t="s">
        <v>196</v>
      </c>
      <c r="C31" s="46">
        <f t="shared" si="0"/>
        <v>14204</v>
      </c>
      <c r="D31" s="41">
        <f>14000+204</f>
        <v>14204</v>
      </c>
      <c r="E31" s="41"/>
      <c r="F31" s="41">
        <v>14000</v>
      </c>
      <c r="G31" s="157"/>
      <c r="H31" s="55"/>
      <c r="I31" s="41"/>
      <c r="J31" s="41"/>
      <c r="K31" s="41"/>
      <c r="L31" s="41"/>
      <c r="M31" s="41"/>
      <c r="N31" s="45">
        <f t="shared" si="1"/>
        <v>14204</v>
      </c>
    </row>
    <row r="32" spans="1:14" s="8" customFormat="1" ht="18" customHeight="1">
      <c r="A32" s="185" t="s">
        <v>197</v>
      </c>
      <c r="B32" s="154" t="s">
        <v>198</v>
      </c>
      <c r="C32" s="46">
        <f t="shared" si="0"/>
        <v>58300</v>
      </c>
      <c r="D32" s="41">
        <f>18300+40000</f>
        <v>58300</v>
      </c>
      <c r="E32" s="41"/>
      <c r="F32" s="41">
        <v>18300</v>
      </c>
      <c r="G32" s="157"/>
      <c r="H32" s="55"/>
      <c r="I32" s="41"/>
      <c r="J32" s="41"/>
      <c r="K32" s="41"/>
      <c r="L32" s="41"/>
      <c r="M32" s="41"/>
      <c r="N32" s="45">
        <f t="shared" si="1"/>
        <v>58300</v>
      </c>
    </row>
    <row r="33" spans="1:14" s="8" customFormat="1" ht="18" customHeight="1">
      <c r="A33" s="185" t="s">
        <v>199</v>
      </c>
      <c r="B33" s="154" t="s">
        <v>200</v>
      </c>
      <c r="C33" s="46">
        <f t="shared" si="0"/>
        <v>63500</v>
      </c>
      <c r="D33" s="41">
        <f>13500+50000</f>
        <v>63500</v>
      </c>
      <c r="E33" s="41"/>
      <c r="F33" s="41">
        <v>13500</v>
      </c>
      <c r="G33" s="157"/>
      <c r="H33" s="55"/>
      <c r="I33" s="41"/>
      <c r="J33" s="41"/>
      <c r="K33" s="41"/>
      <c r="L33" s="41"/>
      <c r="M33" s="41"/>
      <c r="N33" s="45">
        <f t="shared" si="1"/>
        <v>63500</v>
      </c>
    </row>
    <row r="34" spans="1:14" s="8" customFormat="1" ht="24" customHeight="1">
      <c r="A34" s="185" t="s">
        <v>201</v>
      </c>
      <c r="B34" s="154" t="s">
        <v>202</v>
      </c>
      <c r="C34" s="46">
        <f t="shared" si="0"/>
        <v>223</v>
      </c>
      <c r="D34" s="41">
        <v>223</v>
      </c>
      <c r="E34" s="41"/>
      <c r="F34" s="41"/>
      <c r="G34" s="157"/>
      <c r="H34" s="55"/>
      <c r="I34" s="41"/>
      <c r="J34" s="41"/>
      <c r="K34" s="41"/>
      <c r="L34" s="41"/>
      <c r="M34" s="41"/>
      <c r="N34" s="45">
        <f t="shared" si="1"/>
        <v>223</v>
      </c>
    </row>
    <row r="35" spans="1:14" s="8" customFormat="1" ht="24" customHeight="1">
      <c r="A35" s="185" t="s">
        <v>203</v>
      </c>
      <c r="B35" s="154" t="s">
        <v>204</v>
      </c>
      <c r="C35" s="46">
        <f t="shared" si="0"/>
        <v>5800</v>
      </c>
      <c r="D35" s="41">
        <v>5800</v>
      </c>
      <c r="E35" s="41"/>
      <c r="F35" s="41">
        <v>800</v>
      </c>
      <c r="G35" s="157"/>
      <c r="H35" s="55"/>
      <c r="I35" s="41"/>
      <c r="J35" s="41"/>
      <c r="K35" s="41"/>
      <c r="L35" s="41"/>
      <c r="M35" s="41"/>
      <c r="N35" s="45">
        <f t="shared" si="1"/>
        <v>5800</v>
      </c>
    </row>
    <row r="36" spans="1:14" s="8" customFormat="1" ht="24" customHeight="1">
      <c r="A36" s="185" t="s">
        <v>205</v>
      </c>
      <c r="B36" s="154" t="s">
        <v>206</v>
      </c>
      <c r="C36" s="46">
        <f t="shared" si="0"/>
        <v>700</v>
      </c>
      <c r="D36" s="41">
        <v>700</v>
      </c>
      <c r="E36" s="41"/>
      <c r="F36" s="41">
        <v>700</v>
      </c>
      <c r="G36" s="157"/>
      <c r="H36" s="55"/>
      <c r="I36" s="41"/>
      <c r="J36" s="41"/>
      <c r="K36" s="41"/>
      <c r="L36" s="41"/>
      <c r="M36" s="41"/>
      <c r="N36" s="45">
        <f t="shared" si="1"/>
        <v>700</v>
      </c>
    </row>
    <row r="37" spans="1:14" s="8" customFormat="1" ht="21" customHeight="1">
      <c r="A37" s="185" t="s">
        <v>55</v>
      </c>
      <c r="B37" s="154" t="s">
        <v>58</v>
      </c>
      <c r="C37" s="46">
        <f t="shared" si="0"/>
        <v>7900</v>
      </c>
      <c r="D37" s="41">
        <f>7900+3000</f>
        <v>10900</v>
      </c>
      <c r="E37" s="41">
        <f>SUM(E40:E40)</f>
        <v>0</v>
      </c>
      <c r="F37" s="41">
        <v>7900</v>
      </c>
      <c r="G37" s="41">
        <v>-3000</v>
      </c>
      <c r="H37" s="55">
        <f>I37+L37</f>
        <v>0</v>
      </c>
      <c r="I37" s="41"/>
      <c r="J37" s="41"/>
      <c r="K37" s="41"/>
      <c r="L37" s="43"/>
      <c r="M37" s="41"/>
      <c r="N37" s="45">
        <f t="shared" si="1"/>
        <v>7900</v>
      </c>
    </row>
    <row r="38" spans="1:14" s="8" customFormat="1" ht="22.5" customHeight="1">
      <c r="A38" s="185" t="s">
        <v>207</v>
      </c>
      <c r="B38" s="154" t="s">
        <v>208</v>
      </c>
      <c r="C38" s="46">
        <f t="shared" si="0"/>
        <v>300</v>
      </c>
      <c r="D38" s="41">
        <v>300</v>
      </c>
      <c r="E38" s="41"/>
      <c r="F38" s="41">
        <v>300</v>
      </c>
      <c r="G38" s="41"/>
      <c r="H38" s="55"/>
      <c r="I38" s="41"/>
      <c r="J38" s="41"/>
      <c r="K38" s="41"/>
      <c r="L38" s="43"/>
      <c r="M38" s="41"/>
      <c r="N38" s="45">
        <f t="shared" si="1"/>
        <v>300</v>
      </c>
    </row>
    <row r="39" spans="1:14" s="8" customFormat="1" ht="22.5" customHeight="1">
      <c r="A39" s="185" t="s">
        <v>137</v>
      </c>
      <c r="B39" s="154" t="s">
        <v>209</v>
      </c>
      <c r="C39" s="46">
        <f t="shared" si="0"/>
        <v>1500</v>
      </c>
      <c r="D39" s="41">
        <v>1500</v>
      </c>
      <c r="E39" s="41"/>
      <c r="F39" s="41">
        <v>1500</v>
      </c>
      <c r="G39" s="41"/>
      <c r="H39" s="55"/>
      <c r="I39" s="41"/>
      <c r="J39" s="41"/>
      <c r="K39" s="41"/>
      <c r="L39" s="43"/>
      <c r="M39" s="41"/>
      <c r="N39" s="45">
        <f t="shared" si="1"/>
        <v>1500</v>
      </c>
    </row>
    <row r="40" spans="1:14" s="8" customFormat="1" ht="25.5" customHeight="1">
      <c r="A40" s="185" t="s">
        <v>71</v>
      </c>
      <c r="B40" s="154" t="s">
        <v>72</v>
      </c>
      <c r="C40" s="46">
        <f t="shared" si="0"/>
        <v>-350000</v>
      </c>
      <c r="D40" s="41">
        <v>-292300</v>
      </c>
      <c r="E40" s="41"/>
      <c r="F40" s="41"/>
      <c r="G40" s="41">
        <v>-57700</v>
      </c>
      <c r="H40" s="55"/>
      <c r="I40" s="41"/>
      <c r="J40" s="41"/>
      <c r="K40" s="41"/>
      <c r="L40" s="43"/>
      <c r="M40" s="41"/>
      <c r="N40" s="45">
        <f t="shared" si="1"/>
        <v>-350000</v>
      </c>
    </row>
    <row r="41" spans="1:14" s="8" customFormat="1" ht="25.5" customHeight="1">
      <c r="A41" s="185" t="s">
        <v>168</v>
      </c>
      <c r="B41" s="154" t="s">
        <v>169</v>
      </c>
      <c r="C41" s="46">
        <f t="shared" si="0"/>
        <v>-20320</v>
      </c>
      <c r="D41" s="41">
        <v>-20320</v>
      </c>
      <c r="E41" s="41"/>
      <c r="F41" s="41"/>
      <c r="G41" s="41"/>
      <c r="H41" s="55"/>
      <c r="I41" s="41"/>
      <c r="J41" s="41"/>
      <c r="K41" s="41"/>
      <c r="L41" s="43"/>
      <c r="M41" s="41"/>
      <c r="N41" s="45">
        <f t="shared" si="1"/>
        <v>-20320</v>
      </c>
    </row>
    <row r="42" spans="1:14" s="8" customFormat="1" ht="42.75" customHeight="1">
      <c r="A42" s="185" t="s">
        <v>212</v>
      </c>
      <c r="B42" s="154" t="s">
        <v>213</v>
      </c>
      <c r="C42" s="46">
        <f t="shared" si="0"/>
        <v>-33700</v>
      </c>
      <c r="D42" s="41">
        <f>-34000+300</f>
        <v>-33700</v>
      </c>
      <c r="E42" s="41">
        <v>-25000</v>
      </c>
      <c r="F42" s="41">
        <v>300</v>
      </c>
      <c r="G42" s="41"/>
      <c r="H42" s="55"/>
      <c r="I42" s="41"/>
      <c r="J42" s="41"/>
      <c r="K42" s="41"/>
      <c r="L42" s="43"/>
      <c r="M42" s="41"/>
      <c r="N42" s="45">
        <f t="shared" si="1"/>
        <v>-33700</v>
      </c>
    </row>
    <row r="43" spans="1:14" s="8" customFormat="1" ht="39" customHeight="1">
      <c r="A43" s="180" t="s">
        <v>56</v>
      </c>
      <c r="B43" s="61" t="s">
        <v>57</v>
      </c>
      <c r="C43" s="58">
        <f t="shared" si="0"/>
        <v>313632</v>
      </c>
      <c r="D43" s="167">
        <f>D52+D53+D44+D48+D49+D50+D51</f>
        <v>149932</v>
      </c>
      <c r="E43" s="167">
        <f>E52+E53+E44+E48+E49+E50+E51</f>
        <v>151000</v>
      </c>
      <c r="F43" s="167">
        <f>F52+F53+F44+F48+F49+F50+F51</f>
        <v>125632</v>
      </c>
      <c r="G43" s="167">
        <f>G52+G53+G44+G48+G49+G50+G51</f>
        <v>163700</v>
      </c>
      <c r="H43" s="59"/>
      <c r="I43" s="84"/>
      <c r="J43" s="84"/>
      <c r="K43" s="84"/>
      <c r="L43" s="84"/>
      <c r="M43" s="84"/>
      <c r="N43" s="179">
        <f t="shared" si="1"/>
        <v>313632</v>
      </c>
    </row>
    <row r="44" spans="1:14" s="8" customFormat="1" ht="27" customHeight="1">
      <c r="A44" s="181" t="s">
        <v>110</v>
      </c>
      <c r="B44" s="200" t="s">
        <v>215</v>
      </c>
      <c r="C44" s="46">
        <f t="shared" si="0"/>
        <v>-20000</v>
      </c>
      <c r="D44" s="41">
        <v>-20000</v>
      </c>
      <c r="E44" s="41"/>
      <c r="F44" s="41"/>
      <c r="G44" s="41"/>
      <c r="H44" s="55"/>
      <c r="I44" s="41"/>
      <c r="J44" s="41"/>
      <c r="K44" s="41"/>
      <c r="L44" s="43"/>
      <c r="M44" s="41"/>
      <c r="N44" s="45">
        <f t="shared" si="1"/>
        <v>-20000</v>
      </c>
    </row>
    <row r="45" spans="1:14" s="8" customFormat="1" ht="17.25" customHeight="1">
      <c r="A45" s="181"/>
      <c r="B45" s="168" t="s">
        <v>216</v>
      </c>
      <c r="C45" s="46">
        <f t="shared" si="0"/>
        <v>-20000</v>
      </c>
      <c r="D45" s="41">
        <v>-20000</v>
      </c>
      <c r="E45" s="41"/>
      <c r="F45" s="41"/>
      <c r="G45" s="41"/>
      <c r="H45" s="55"/>
      <c r="I45" s="41"/>
      <c r="J45" s="41"/>
      <c r="K45" s="41"/>
      <c r="L45" s="43"/>
      <c r="M45" s="41"/>
      <c r="N45" s="45">
        <f t="shared" si="1"/>
        <v>-20000</v>
      </c>
    </row>
    <row r="46" spans="1:14" s="8" customFormat="1" ht="17.25" customHeight="1">
      <c r="A46" s="181"/>
      <c r="B46" s="168" t="s">
        <v>217</v>
      </c>
      <c r="C46" s="46"/>
      <c r="D46" s="41"/>
      <c r="E46" s="41"/>
      <c r="F46" s="41"/>
      <c r="G46" s="41"/>
      <c r="H46" s="55"/>
      <c r="I46" s="41"/>
      <c r="J46" s="41"/>
      <c r="K46" s="41"/>
      <c r="L46" s="43"/>
      <c r="M46" s="41"/>
      <c r="N46" s="45"/>
    </row>
    <row r="47" spans="1:14" s="8" customFormat="1" ht="51.75" customHeight="1">
      <c r="A47" s="181" t="s">
        <v>111</v>
      </c>
      <c r="B47" s="200" t="s">
        <v>112</v>
      </c>
      <c r="C47" s="46">
        <f t="shared" si="0"/>
        <v>-10000</v>
      </c>
      <c r="D47" s="41">
        <v>-10000</v>
      </c>
      <c r="E47" s="41"/>
      <c r="F47" s="41"/>
      <c r="G47" s="41"/>
      <c r="H47" s="55"/>
      <c r="I47" s="41"/>
      <c r="J47" s="41"/>
      <c r="K47" s="41"/>
      <c r="L47" s="43"/>
      <c r="M47" s="41"/>
      <c r="N47" s="45">
        <f t="shared" si="1"/>
        <v>-10000</v>
      </c>
    </row>
    <row r="48" spans="1:14" s="8" customFormat="1" ht="26.25" customHeight="1">
      <c r="A48" s="181" t="s">
        <v>153</v>
      </c>
      <c r="B48" s="154" t="s">
        <v>154</v>
      </c>
      <c r="C48" s="46">
        <f t="shared" si="0"/>
        <v>-101200</v>
      </c>
      <c r="D48" s="41">
        <v>-101200</v>
      </c>
      <c r="E48" s="41"/>
      <c r="F48" s="41"/>
      <c r="G48" s="41"/>
      <c r="H48" s="55"/>
      <c r="I48" s="41"/>
      <c r="J48" s="41"/>
      <c r="K48" s="41"/>
      <c r="L48" s="43"/>
      <c r="M48" s="41"/>
      <c r="N48" s="45">
        <f t="shared" si="1"/>
        <v>-101200</v>
      </c>
    </row>
    <row r="49" spans="1:14" s="8" customFormat="1" ht="27.75" customHeight="1">
      <c r="A49" s="181" t="s">
        <v>155</v>
      </c>
      <c r="B49" s="230" t="s">
        <v>156</v>
      </c>
      <c r="C49" s="46">
        <f t="shared" si="0"/>
        <v>-62000</v>
      </c>
      <c r="D49" s="41">
        <v>-62000</v>
      </c>
      <c r="E49" s="41"/>
      <c r="F49" s="41"/>
      <c r="G49" s="41"/>
      <c r="H49" s="55"/>
      <c r="I49" s="41"/>
      <c r="J49" s="41"/>
      <c r="K49" s="41"/>
      <c r="L49" s="43"/>
      <c r="M49" s="41"/>
      <c r="N49" s="45">
        <f t="shared" si="1"/>
        <v>-62000</v>
      </c>
    </row>
    <row r="50" spans="1:14" s="8" customFormat="1" ht="19.5" customHeight="1">
      <c r="A50" s="181" t="s">
        <v>157</v>
      </c>
      <c r="B50" s="154" t="s">
        <v>158</v>
      </c>
      <c r="C50" s="46">
        <f t="shared" si="0"/>
        <v>15000</v>
      </c>
      <c r="D50" s="41"/>
      <c r="E50" s="41"/>
      <c r="F50" s="41"/>
      <c r="G50" s="41">
        <v>15000</v>
      </c>
      <c r="H50" s="55"/>
      <c r="I50" s="41"/>
      <c r="J50" s="41"/>
      <c r="K50" s="41"/>
      <c r="L50" s="43"/>
      <c r="M50" s="41"/>
      <c r="N50" s="45">
        <f t="shared" si="1"/>
        <v>15000</v>
      </c>
    </row>
    <row r="51" spans="1:14" s="8" customFormat="1" ht="31.5" customHeight="1">
      <c r="A51" s="181" t="s">
        <v>159</v>
      </c>
      <c r="B51" s="168" t="s">
        <v>160</v>
      </c>
      <c r="C51" s="46">
        <f t="shared" si="0"/>
        <v>206632</v>
      </c>
      <c r="D51" s="41">
        <f>10000+101632</f>
        <v>111632</v>
      </c>
      <c r="E51" s="41">
        <v>13000</v>
      </c>
      <c r="F51" s="41">
        <v>101632</v>
      </c>
      <c r="G51" s="41">
        <v>95000</v>
      </c>
      <c r="H51" s="55"/>
      <c r="I51" s="41"/>
      <c r="J51" s="41"/>
      <c r="K51" s="41"/>
      <c r="L51" s="43"/>
      <c r="M51" s="41"/>
      <c r="N51" s="45">
        <f t="shared" si="1"/>
        <v>206632</v>
      </c>
    </row>
    <row r="52" spans="1:14" s="8" customFormat="1" ht="27" customHeight="1">
      <c r="A52" s="181" t="s">
        <v>69</v>
      </c>
      <c r="B52" s="200" t="s">
        <v>70</v>
      </c>
      <c r="C52" s="46">
        <f t="shared" si="0"/>
        <v>216000</v>
      </c>
      <c r="D52" s="41">
        <f>188000+4000+24000</f>
        <v>216000</v>
      </c>
      <c r="E52" s="41">
        <v>138000</v>
      </c>
      <c r="F52" s="41">
        <v>24000</v>
      </c>
      <c r="G52" s="41"/>
      <c r="H52" s="55"/>
      <c r="I52" s="41"/>
      <c r="J52" s="41"/>
      <c r="K52" s="41"/>
      <c r="L52" s="43"/>
      <c r="M52" s="41"/>
      <c r="N52" s="45">
        <f t="shared" si="1"/>
        <v>216000</v>
      </c>
    </row>
    <row r="53" spans="1:14" s="8" customFormat="1" ht="42.75" customHeight="1">
      <c r="A53" s="181" t="s">
        <v>61</v>
      </c>
      <c r="B53" s="168" t="s">
        <v>62</v>
      </c>
      <c r="C53" s="46">
        <f t="shared" si="0"/>
        <v>59200</v>
      </c>
      <c r="D53" s="41">
        <v>5500</v>
      </c>
      <c r="E53" s="41"/>
      <c r="F53" s="41"/>
      <c r="G53" s="41">
        <v>53700</v>
      </c>
      <c r="H53" s="55"/>
      <c r="I53" s="41"/>
      <c r="J53" s="41"/>
      <c r="K53" s="41"/>
      <c r="L53" s="43"/>
      <c r="M53" s="41"/>
      <c r="N53" s="45">
        <f t="shared" si="1"/>
        <v>59200</v>
      </c>
    </row>
    <row r="54" spans="1:14" s="8" customFormat="1" ht="38.25" customHeight="1">
      <c r="A54" s="180" t="s">
        <v>106</v>
      </c>
      <c r="B54" s="61" t="s">
        <v>107</v>
      </c>
      <c r="C54" s="58">
        <f t="shared" si="0"/>
        <v>82557</v>
      </c>
      <c r="D54" s="167">
        <f>D55+D57+D56</f>
        <v>82557</v>
      </c>
      <c r="E54" s="167">
        <f>E55+E57+E56</f>
        <v>23313</v>
      </c>
      <c r="F54" s="167">
        <f>F55+F57+F56</f>
        <v>2200</v>
      </c>
      <c r="G54" s="167">
        <f>G55+G57+G56</f>
        <v>0</v>
      </c>
      <c r="H54" s="59"/>
      <c r="I54" s="84"/>
      <c r="J54" s="84"/>
      <c r="K54" s="84"/>
      <c r="L54" s="84"/>
      <c r="M54" s="84"/>
      <c r="N54" s="60">
        <f t="shared" si="1"/>
        <v>82557</v>
      </c>
    </row>
    <row r="55" spans="1:14" s="8" customFormat="1" ht="29.25" customHeight="1">
      <c r="A55" s="181" t="s">
        <v>108</v>
      </c>
      <c r="B55" s="168" t="s">
        <v>109</v>
      </c>
      <c r="C55" s="46">
        <f t="shared" si="0"/>
        <v>31057</v>
      </c>
      <c r="D55" s="41">
        <f>30357+700</f>
        <v>31057</v>
      </c>
      <c r="E55" s="41">
        <v>23313</v>
      </c>
      <c r="F55" s="41">
        <v>700</v>
      </c>
      <c r="G55" s="41"/>
      <c r="H55" s="42"/>
      <c r="I55" s="41"/>
      <c r="J55" s="41"/>
      <c r="K55" s="41"/>
      <c r="L55" s="41"/>
      <c r="M55" s="41"/>
      <c r="N55" s="45">
        <f t="shared" si="1"/>
        <v>31057</v>
      </c>
    </row>
    <row r="56" spans="1:14" s="8" customFormat="1" ht="35.25" customHeight="1">
      <c r="A56" s="181" t="s">
        <v>226</v>
      </c>
      <c r="B56" s="168" t="s">
        <v>227</v>
      </c>
      <c r="C56" s="46">
        <f t="shared" si="0"/>
        <v>50000</v>
      </c>
      <c r="D56" s="41">
        <v>50000</v>
      </c>
      <c r="E56" s="41"/>
      <c r="F56" s="41"/>
      <c r="G56" s="41"/>
      <c r="H56" s="42"/>
      <c r="I56" s="41"/>
      <c r="J56" s="41"/>
      <c r="K56" s="41"/>
      <c r="L56" s="41"/>
      <c r="M56" s="41"/>
      <c r="N56" s="45">
        <f t="shared" si="1"/>
        <v>50000</v>
      </c>
    </row>
    <row r="57" spans="1:14" s="8" customFormat="1" ht="42" customHeight="1">
      <c r="A57" s="181" t="s">
        <v>162</v>
      </c>
      <c r="B57" s="168" t="s">
        <v>163</v>
      </c>
      <c r="C57" s="46">
        <f t="shared" si="0"/>
        <v>1500</v>
      </c>
      <c r="D57" s="41">
        <v>1500</v>
      </c>
      <c r="E57" s="41"/>
      <c r="F57" s="41">
        <v>1500</v>
      </c>
      <c r="G57" s="41"/>
      <c r="H57" s="42"/>
      <c r="I57" s="41"/>
      <c r="J57" s="41"/>
      <c r="K57" s="41"/>
      <c r="L57" s="41"/>
      <c r="M57" s="41"/>
      <c r="N57" s="45">
        <f t="shared" si="1"/>
        <v>1500</v>
      </c>
    </row>
    <row r="58" spans="1:14" s="8" customFormat="1" ht="33" customHeight="1">
      <c r="A58" s="180" t="s">
        <v>113</v>
      </c>
      <c r="B58" s="61" t="s">
        <v>218</v>
      </c>
      <c r="C58" s="58">
        <f t="shared" si="0"/>
        <v>-7000</v>
      </c>
      <c r="D58" s="167">
        <f>D59+D60</f>
        <v>-7000</v>
      </c>
      <c r="E58" s="167">
        <f>E59+E60</f>
        <v>3674</v>
      </c>
      <c r="F58" s="167">
        <f>F59+F60</f>
        <v>19350</v>
      </c>
      <c r="G58" s="167">
        <f>G59+G60</f>
        <v>0</v>
      </c>
      <c r="H58" s="59"/>
      <c r="I58" s="84"/>
      <c r="J58" s="84"/>
      <c r="K58" s="84"/>
      <c r="L58" s="84"/>
      <c r="M58" s="84"/>
      <c r="N58" s="60">
        <f t="shared" si="1"/>
        <v>-7000</v>
      </c>
    </row>
    <row r="59" spans="1:14" s="8" customFormat="1" ht="22.5" customHeight="1">
      <c r="A59" s="181" t="s">
        <v>114</v>
      </c>
      <c r="B59" s="209" t="s">
        <v>115</v>
      </c>
      <c r="C59" s="46">
        <f t="shared" si="0"/>
        <v>-7000</v>
      </c>
      <c r="D59" s="41">
        <f>-7000</f>
        <v>-7000</v>
      </c>
      <c r="E59" s="41">
        <v>2201</v>
      </c>
      <c r="F59" s="41">
        <f>19350</f>
        <v>19350</v>
      </c>
      <c r="G59" s="41"/>
      <c r="H59" s="42"/>
      <c r="I59" s="41"/>
      <c r="J59" s="41"/>
      <c r="K59" s="41"/>
      <c r="L59" s="41"/>
      <c r="M59" s="41"/>
      <c r="N59" s="45">
        <f t="shared" si="1"/>
        <v>-7000</v>
      </c>
    </row>
    <row r="60" spans="1:14" s="8" customFormat="1" ht="22.5" customHeight="1">
      <c r="A60" s="181" t="s">
        <v>151</v>
      </c>
      <c r="B60" s="209" t="s">
        <v>152</v>
      </c>
      <c r="C60" s="46">
        <f t="shared" si="0"/>
        <v>0</v>
      </c>
      <c r="D60" s="41"/>
      <c r="E60" s="41">
        <v>1473</v>
      </c>
      <c r="F60" s="41"/>
      <c r="G60" s="41"/>
      <c r="H60" s="199"/>
      <c r="I60" s="41"/>
      <c r="J60" s="41"/>
      <c r="K60" s="41"/>
      <c r="L60" s="41"/>
      <c r="M60" s="41"/>
      <c r="N60" s="45">
        <f t="shared" si="1"/>
        <v>0</v>
      </c>
    </row>
    <row r="61" spans="1:14" s="8" customFormat="1" ht="32.25" customHeight="1">
      <c r="A61" s="180" t="s">
        <v>101</v>
      </c>
      <c r="B61" s="61" t="s">
        <v>102</v>
      </c>
      <c r="C61" s="58">
        <f>D61+G61</f>
        <v>10000</v>
      </c>
      <c r="D61" s="167">
        <f>D62</f>
        <v>10000</v>
      </c>
      <c r="E61" s="171"/>
      <c r="F61" s="84"/>
      <c r="G61" s="84"/>
      <c r="H61" s="58"/>
      <c r="I61" s="167"/>
      <c r="J61" s="84"/>
      <c r="K61" s="84"/>
      <c r="L61" s="84"/>
      <c r="M61" s="84"/>
      <c r="N61" s="60">
        <f t="shared" si="1"/>
        <v>10000</v>
      </c>
    </row>
    <row r="62" spans="1:14" s="8" customFormat="1" ht="19.5" customHeight="1">
      <c r="A62" s="181" t="s">
        <v>103</v>
      </c>
      <c r="B62" s="209" t="s">
        <v>104</v>
      </c>
      <c r="C62" s="46">
        <f>D62+G62</f>
        <v>10000</v>
      </c>
      <c r="D62" s="41">
        <v>10000</v>
      </c>
      <c r="E62" s="41"/>
      <c r="F62" s="41"/>
      <c r="G62" s="41"/>
      <c r="H62" s="55"/>
      <c r="I62" s="166"/>
      <c r="J62" s="41"/>
      <c r="K62" s="41"/>
      <c r="L62" s="41"/>
      <c r="M62" s="41"/>
      <c r="N62" s="45">
        <f t="shared" si="1"/>
        <v>10000</v>
      </c>
    </row>
    <row r="63" spans="1:14" s="8" customFormat="1" ht="47.25" customHeight="1">
      <c r="A63" s="180" t="s">
        <v>236</v>
      </c>
      <c r="B63" s="61" t="s">
        <v>233</v>
      </c>
      <c r="C63" s="58">
        <f t="shared" si="0"/>
        <v>29500</v>
      </c>
      <c r="D63" s="167">
        <f>D64</f>
        <v>29500</v>
      </c>
      <c r="E63" s="167"/>
      <c r="F63" s="167"/>
      <c r="G63" s="167"/>
      <c r="H63" s="58"/>
      <c r="I63" s="167"/>
      <c r="J63" s="167"/>
      <c r="K63" s="167"/>
      <c r="L63" s="167"/>
      <c r="M63" s="167"/>
      <c r="N63" s="60">
        <f t="shared" si="1"/>
        <v>29500</v>
      </c>
    </row>
    <row r="64" spans="1:14" s="8" customFormat="1" ht="33.75" customHeight="1">
      <c r="A64" s="181" t="s">
        <v>234</v>
      </c>
      <c r="B64" s="168" t="s">
        <v>235</v>
      </c>
      <c r="C64" s="46">
        <f t="shared" si="0"/>
        <v>29500</v>
      </c>
      <c r="D64" s="41">
        <v>29500</v>
      </c>
      <c r="E64" s="41"/>
      <c r="F64" s="41"/>
      <c r="G64" s="41"/>
      <c r="H64" s="55"/>
      <c r="I64" s="41"/>
      <c r="J64" s="41"/>
      <c r="K64" s="41"/>
      <c r="L64" s="41"/>
      <c r="M64" s="41"/>
      <c r="N64" s="45">
        <f t="shared" si="1"/>
        <v>29500</v>
      </c>
    </row>
    <row r="65" spans="1:14" s="8" customFormat="1" ht="33.75" customHeight="1">
      <c r="A65" s="180" t="s">
        <v>131</v>
      </c>
      <c r="B65" s="61" t="s">
        <v>132</v>
      </c>
      <c r="C65" s="172">
        <f t="shared" si="0"/>
        <v>460321.49</v>
      </c>
      <c r="D65" s="171">
        <f>SUM(D66:D72)</f>
        <v>308803.49</v>
      </c>
      <c r="E65" s="167">
        <f>SUM(E66:E72)</f>
        <v>0</v>
      </c>
      <c r="F65" s="167">
        <f>SUM(F66:F72)</f>
        <v>49600</v>
      </c>
      <c r="G65" s="167">
        <f>SUM(G66:G72)</f>
        <v>151518</v>
      </c>
      <c r="H65" s="58">
        <f>I65+L65</f>
        <v>0</v>
      </c>
      <c r="I65" s="167">
        <f>SUM(I66:I72)</f>
        <v>0</v>
      </c>
      <c r="J65" s="167">
        <f>SUM(J66:J72)</f>
        <v>0</v>
      </c>
      <c r="K65" s="167">
        <f>SUM(K66:K72)</f>
        <v>0</v>
      </c>
      <c r="L65" s="167">
        <f>SUM(L66:L72)</f>
        <v>0</v>
      </c>
      <c r="M65" s="167">
        <f>SUM(M66:M72)</f>
        <v>0</v>
      </c>
      <c r="N65" s="60">
        <f t="shared" si="1"/>
        <v>460321.49</v>
      </c>
    </row>
    <row r="66" spans="1:14" s="8" customFormat="1" ht="17.25" customHeight="1">
      <c r="A66" s="181" t="s">
        <v>133</v>
      </c>
      <c r="B66" s="168" t="s">
        <v>134</v>
      </c>
      <c r="C66" s="170">
        <f t="shared" si="0"/>
        <v>359121.49</v>
      </c>
      <c r="D66" s="169">
        <f>43+261278.49</f>
        <v>261321.49</v>
      </c>
      <c r="E66" s="41"/>
      <c r="F66" s="41"/>
      <c r="G66" s="41">
        <f>54800+30000+13000</f>
        <v>97800</v>
      </c>
      <c r="H66" s="55">
        <f aca="true" t="shared" si="3" ref="H66:H74">I66+L66</f>
        <v>0</v>
      </c>
      <c r="I66" s="41"/>
      <c r="J66" s="41"/>
      <c r="K66" s="41"/>
      <c r="L66" s="41"/>
      <c r="M66" s="41"/>
      <c r="N66" s="45">
        <f t="shared" si="1"/>
        <v>359121.49</v>
      </c>
    </row>
    <row r="67" spans="1:14" s="8" customFormat="1" ht="28.5" customHeight="1">
      <c r="A67" s="181" t="s">
        <v>135</v>
      </c>
      <c r="B67" s="168" t="s">
        <v>136</v>
      </c>
      <c r="C67" s="46">
        <f t="shared" si="0"/>
        <v>21600</v>
      </c>
      <c r="D67" s="41">
        <v>11600</v>
      </c>
      <c r="E67" s="41"/>
      <c r="F67" s="41"/>
      <c r="G67" s="41">
        <f>23000-13000</f>
        <v>10000</v>
      </c>
      <c r="H67" s="55">
        <f t="shared" si="3"/>
        <v>0</v>
      </c>
      <c r="I67" s="41"/>
      <c r="J67" s="41"/>
      <c r="K67" s="41"/>
      <c r="L67" s="41"/>
      <c r="M67" s="41"/>
      <c r="N67" s="45">
        <f t="shared" si="1"/>
        <v>21600</v>
      </c>
    </row>
    <row r="68" spans="1:14" s="8" customFormat="1" ht="17.25" customHeight="1">
      <c r="A68" s="181" t="s">
        <v>137</v>
      </c>
      <c r="B68" s="168" t="s">
        <v>138</v>
      </c>
      <c r="C68" s="46">
        <f t="shared" si="0"/>
        <v>65100</v>
      </c>
      <c r="D68" s="41">
        <v>25100</v>
      </c>
      <c r="E68" s="41"/>
      <c r="F68" s="41">
        <v>25100</v>
      </c>
      <c r="G68" s="41">
        <v>40000</v>
      </c>
      <c r="H68" s="55">
        <f t="shared" si="3"/>
        <v>0</v>
      </c>
      <c r="I68" s="41"/>
      <c r="J68" s="41"/>
      <c r="K68" s="41"/>
      <c r="L68" s="41"/>
      <c r="M68" s="41"/>
      <c r="N68" s="45">
        <f t="shared" si="1"/>
        <v>65100</v>
      </c>
    </row>
    <row r="69" spans="1:14" s="8" customFormat="1" ht="19.5" customHeight="1">
      <c r="A69" s="181" t="s">
        <v>139</v>
      </c>
      <c r="B69" s="168" t="s">
        <v>140</v>
      </c>
      <c r="C69" s="46">
        <f t="shared" si="0"/>
        <v>7700</v>
      </c>
      <c r="D69" s="41">
        <f>1282+7700</f>
        <v>8982</v>
      </c>
      <c r="E69" s="41"/>
      <c r="F69" s="41">
        <v>7700</v>
      </c>
      <c r="G69" s="41">
        <v>-1282</v>
      </c>
      <c r="H69" s="55">
        <f t="shared" si="3"/>
        <v>0</v>
      </c>
      <c r="I69" s="41"/>
      <c r="J69" s="41"/>
      <c r="K69" s="41"/>
      <c r="L69" s="41"/>
      <c r="M69" s="41"/>
      <c r="N69" s="45">
        <f t="shared" si="1"/>
        <v>7700</v>
      </c>
    </row>
    <row r="70" spans="1:14" s="8" customFormat="1" ht="19.5" customHeight="1">
      <c r="A70" s="181" t="s">
        <v>186</v>
      </c>
      <c r="B70" s="168" t="s">
        <v>187</v>
      </c>
      <c r="C70" s="46">
        <f t="shared" si="0"/>
        <v>13000</v>
      </c>
      <c r="D70" s="41">
        <v>13000</v>
      </c>
      <c r="E70" s="41"/>
      <c r="F70" s="41">
        <v>13000</v>
      </c>
      <c r="G70" s="41"/>
      <c r="H70" s="55"/>
      <c r="I70" s="41"/>
      <c r="J70" s="41"/>
      <c r="K70" s="41"/>
      <c r="L70" s="41"/>
      <c r="M70" s="41"/>
      <c r="N70" s="45">
        <f t="shared" si="1"/>
        <v>13000</v>
      </c>
    </row>
    <row r="71" spans="1:14" s="8" customFormat="1" ht="29.25" customHeight="1">
      <c r="A71" s="181" t="s">
        <v>184</v>
      </c>
      <c r="B71" s="168" t="s">
        <v>185</v>
      </c>
      <c r="C71" s="46">
        <f t="shared" si="0"/>
        <v>300</v>
      </c>
      <c r="D71" s="41">
        <v>300</v>
      </c>
      <c r="E71" s="41"/>
      <c r="F71" s="41">
        <v>300</v>
      </c>
      <c r="G71" s="41"/>
      <c r="H71" s="55"/>
      <c r="I71" s="41"/>
      <c r="J71" s="41"/>
      <c r="K71" s="41"/>
      <c r="L71" s="41"/>
      <c r="M71" s="41"/>
      <c r="N71" s="45">
        <f t="shared" si="1"/>
        <v>300</v>
      </c>
    </row>
    <row r="72" spans="1:14" s="8" customFormat="1" ht="19.5" customHeight="1">
      <c r="A72" s="181" t="s">
        <v>141</v>
      </c>
      <c r="B72" s="168" t="s">
        <v>142</v>
      </c>
      <c r="C72" s="46">
        <f t="shared" si="0"/>
        <v>-6500</v>
      </c>
      <c r="D72" s="41">
        <f>D73+D74</f>
        <v>-11500</v>
      </c>
      <c r="E72" s="41">
        <f>E73+E74</f>
        <v>0</v>
      </c>
      <c r="F72" s="41">
        <f>F73+F74</f>
        <v>3500</v>
      </c>
      <c r="G72" s="41">
        <f>G73+G74</f>
        <v>5000</v>
      </c>
      <c r="H72" s="55">
        <f t="shared" si="3"/>
        <v>0</v>
      </c>
      <c r="I72" s="41"/>
      <c r="J72" s="41"/>
      <c r="K72" s="41"/>
      <c r="L72" s="41"/>
      <c r="M72" s="41"/>
      <c r="N72" s="45">
        <f t="shared" si="1"/>
        <v>-6500</v>
      </c>
    </row>
    <row r="73" spans="1:14" s="8" customFormat="1" ht="29.25" customHeight="1">
      <c r="A73" s="181" t="s">
        <v>127</v>
      </c>
      <c r="B73" s="168" t="s">
        <v>143</v>
      </c>
      <c r="C73" s="46">
        <f t="shared" si="0"/>
        <v>8500</v>
      </c>
      <c r="D73" s="41">
        <v>3500</v>
      </c>
      <c r="E73" s="41"/>
      <c r="F73" s="41">
        <v>3500</v>
      </c>
      <c r="G73" s="41">
        <v>5000</v>
      </c>
      <c r="H73" s="55">
        <f t="shared" si="3"/>
        <v>0</v>
      </c>
      <c r="I73" s="41"/>
      <c r="J73" s="41"/>
      <c r="K73" s="41"/>
      <c r="L73" s="41"/>
      <c r="M73" s="41"/>
      <c r="N73" s="45">
        <f t="shared" si="1"/>
        <v>8500</v>
      </c>
    </row>
    <row r="74" spans="1:14" s="8" customFormat="1" ht="17.25" customHeight="1">
      <c r="A74" s="208"/>
      <c r="B74" s="168" t="s">
        <v>144</v>
      </c>
      <c r="C74" s="46">
        <f t="shared" si="0"/>
        <v>-15000</v>
      </c>
      <c r="D74" s="41">
        <f>15000-30000</f>
        <v>-15000</v>
      </c>
      <c r="E74" s="41"/>
      <c r="F74" s="41"/>
      <c r="G74" s="41"/>
      <c r="H74" s="55">
        <f t="shared" si="3"/>
        <v>0</v>
      </c>
      <c r="I74" s="41"/>
      <c r="J74" s="41"/>
      <c r="K74" s="41"/>
      <c r="L74" s="41"/>
      <c r="M74" s="41"/>
      <c r="N74" s="45">
        <f t="shared" si="1"/>
        <v>-15000</v>
      </c>
    </row>
    <row r="75" spans="1:14" s="8" customFormat="1" ht="36.75" customHeight="1">
      <c r="A75" s="180" t="s">
        <v>237</v>
      </c>
      <c r="B75" s="61" t="s">
        <v>240</v>
      </c>
      <c r="C75" s="58">
        <f t="shared" si="0"/>
        <v>0</v>
      </c>
      <c r="D75" s="167"/>
      <c r="E75" s="167"/>
      <c r="F75" s="167">
        <f>F76</f>
        <v>-570</v>
      </c>
      <c r="G75" s="167"/>
      <c r="H75" s="59"/>
      <c r="I75" s="84"/>
      <c r="J75" s="84"/>
      <c r="K75" s="84"/>
      <c r="L75" s="84"/>
      <c r="M75" s="84"/>
      <c r="N75" s="60"/>
    </row>
    <row r="76" spans="1:14" s="8" customFormat="1" ht="40.5" customHeight="1">
      <c r="A76" s="181" t="s">
        <v>238</v>
      </c>
      <c r="B76" s="168" t="s">
        <v>239</v>
      </c>
      <c r="C76" s="46">
        <f t="shared" si="0"/>
        <v>0</v>
      </c>
      <c r="D76" s="41"/>
      <c r="E76" s="41"/>
      <c r="F76" s="41">
        <v>-570</v>
      </c>
      <c r="G76" s="41"/>
      <c r="H76" s="55"/>
      <c r="I76" s="41"/>
      <c r="J76" s="41"/>
      <c r="K76" s="41"/>
      <c r="L76" s="41"/>
      <c r="M76" s="41"/>
      <c r="N76" s="45"/>
    </row>
    <row r="77" spans="1:14" s="8" customFormat="1" ht="51.75" customHeight="1">
      <c r="A77" s="180" t="s">
        <v>50</v>
      </c>
      <c r="B77" s="61" t="s">
        <v>51</v>
      </c>
      <c r="C77" s="58">
        <f t="shared" si="0"/>
        <v>1968</v>
      </c>
      <c r="D77" s="167">
        <f>SUM(D78:D80)</f>
        <v>1968</v>
      </c>
      <c r="E77" s="167">
        <f>SUM(E78:E80)</f>
        <v>0</v>
      </c>
      <c r="F77" s="167">
        <f>SUM(F78:F80)</f>
        <v>1968</v>
      </c>
      <c r="G77" s="167">
        <f>SUM(G78:G80)</f>
        <v>0</v>
      </c>
      <c r="H77" s="59"/>
      <c r="I77" s="84"/>
      <c r="J77" s="84"/>
      <c r="K77" s="84"/>
      <c r="L77" s="84"/>
      <c r="M77" s="84"/>
      <c r="N77" s="60">
        <f t="shared" si="1"/>
        <v>1968</v>
      </c>
    </row>
    <row r="78" spans="1:14" s="8" customFormat="1" ht="29.25" customHeight="1">
      <c r="A78" s="181" t="s">
        <v>188</v>
      </c>
      <c r="B78" s="168" t="s">
        <v>189</v>
      </c>
      <c r="C78" s="46">
        <f t="shared" si="0"/>
        <v>982</v>
      </c>
      <c r="D78" s="41">
        <v>982</v>
      </c>
      <c r="E78" s="41"/>
      <c r="F78" s="41">
        <v>982</v>
      </c>
      <c r="G78" s="169"/>
      <c r="H78" s="199"/>
      <c r="I78" s="41"/>
      <c r="J78" s="41"/>
      <c r="K78" s="41"/>
      <c r="L78" s="41"/>
      <c r="M78" s="41"/>
      <c r="N78" s="45">
        <f aca="true" t="shared" si="4" ref="N78:N90">SUM(H78,C78)</f>
        <v>982</v>
      </c>
    </row>
    <row r="79" spans="1:14" s="8" customFormat="1" ht="39.75" customHeight="1">
      <c r="A79" s="181" t="s">
        <v>190</v>
      </c>
      <c r="B79" s="168" t="s">
        <v>191</v>
      </c>
      <c r="C79" s="46">
        <f t="shared" si="0"/>
        <v>305</v>
      </c>
      <c r="D79" s="41">
        <v>305</v>
      </c>
      <c r="E79" s="41"/>
      <c r="F79" s="41">
        <v>305</v>
      </c>
      <c r="G79" s="169"/>
      <c r="H79" s="199"/>
      <c r="I79" s="41"/>
      <c r="J79" s="41"/>
      <c r="K79" s="41"/>
      <c r="L79" s="41"/>
      <c r="M79" s="41"/>
      <c r="N79" s="45">
        <f t="shared" si="4"/>
        <v>305</v>
      </c>
    </row>
    <row r="80" spans="1:14" s="8" customFormat="1" ht="33" customHeight="1">
      <c r="A80" s="181" t="s">
        <v>73</v>
      </c>
      <c r="B80" s="168" t="s">
        <v>74</v>
      </c>
      <c r="C80" s="46">
        <f t="shared" si="0"/>
        <v>681</v>
      </c>
      <c r="D80" s="41">
        <v>681</v>
      </c>
      <c r="E80" s="41"/>
      <c r="F80" s="41">
        <v>681</v>
      </c>
      <c r="G80" s="169"/>
      <c r="H80" s="199"/>
      <c r="I80" s="41"/>
      <c r="J80" s="41"/>
      <c r="K80" s="41"/>
      <c r="L80" s="41"/>
      <c r="M80" s="41"/>
      <c r="N80" s="45">
        <f t="shared" si="4"/>
        <v>681</v>
      </c>
    </row>
    <row r="81" spans="1:14" s="8" customFormat="1" ht="36" customHeight="1">
      <c r="A81" s="180" t="s">
        <v>119</v>
      </c>
      <c r="B81" s="61" t="s">
        <v>120</v>
      </c>
      <c r="C81" s="58">
        <f t="shared" si="0"/>
        <v>-149000</v>
      </c>
      <c r="D81" s="167">
        <f>D82</f>
        <v>-149000</v>
      </c>
      <c r="E81" s="171"/>
      <c r="F81" s="171"/>
      <c r="G81" s="171"/>
      <c r="H81" s="59"/>
      <c r="I81" s="84"/>
      <c r="J81" s="84"/>
      <c r="K81" s="84"/>
      <c r="L81" s="84"/>
      <c r="M81" s="84"/>
      <c r="N81" s="195">
        <f t="shared" si="4"/>
        <v>-149000</v>
      </c>
    </row>
    <row r="82" spans="1:14" s="8" customFormat="1" ht="40.5" customHeight="1">
      <c r="A82" s="250"/>
      <c r="B82" s="243" t="s">
        <v>121</v>
      </c>
      <c r="C82" s="46">
        <f t="shared" si="0"/>
        <v>-149000</v>
      </c>
      <c r="D82" s="41">
        <f>D83</f>
        <v>-149000</v>
      </c>
      <c r="E82" s="41"/>
      <c r="F82" s="41"/>
      <c r="G82" s="169"/>
      <c r="H82" s="199"/>
      <c r="I82" s="41"/>
      <c r="J82" s="41"/>
      <c r="K82" s="41"/>
      <c r="L82" s="41"/>
      <c r="M82" s="41"/>
      <c r="N82" s="45">
        <f t="shared" si="4"/>
        <v>-149000</v>
      </c>
    </row>
    <row r="83" spans="1:14" s="8" customFormat="1" ht="22.5" customHeight="1">
      <c r="A83" s="239" t="s">
        <v>129</v>
      </c>
      <c r="B83" s="243" t="s">
        <v>130</v>
      </c>
      <c r="C83" s="46">
        <f t="shared" si="0"/>
        <v>-149000</v>
      </c>
      <c r="D83" s="41">
        <f>-126000-23000</f>
        <v>-149000</v>
      </c>
      <c r="E83" s="41"/>
      <c r="F83" s="41"/>
      <c r="G83" s="169"/>
      <c r="H83" s="199"/>
      <c r="I83" s="41"/>
      <c r="J83" s="41"/>
      <c r="K83" s="41"/>
      <c r="L83" s="41"/>
      <c r="M83" s="41"/>
      <c r="N83" s="45">
        <f t="shared" si="4"/>
        <v>-149000</v>
      </c>
    </row>
    <row r="84" spans="1:14" s="8" customFormat="1" ht="54" customHeight="1">
      <c r="A84" s="164" t="s">
        <v>219</v>
      </c>
      <c r="B84" s="57" t="s">
        <v>220</v>
      </c>
      <c r="C84" s="58">
        <f t="shared" si="0"/>
        <v>-50000</v>
      </c>
      <c r="D84" s="167">
        <f>D85</f>
        <v>-50000</v>
      </c>
      <c r="E84" s="84"/>
      <c r="F84" s="84"/>
      <c r="G84" s="84"/>
      <c r="H84" s="59"/>
      <c r="I84" s="84"/>
      <c r="J84" s="84"/>
      <c r="K84" s="84"/>
      <c r="L84" s="84"/>
      <c r="M84" s="84"/>
      <c r="N84" s="195">
        <f t="shared" si="4"/>
        <v>-50000</v>
      </c>
    </row>
    <row r="85" spans="1:14" s="8" customFormat="1" ht="45.75" customHeight="1">
      <c r="A85" s="239" t="s">
        <v>221</v>
      </c>
      <c r="B85" s="168" t="s">
        <v>222</v>
      </c>
      <c r="C85" s="46">
        <f>D85+G85</f>
        <v>-50000</v>
      </c>
      <c r="D85" s="41">
        <f>D86</f>
        <v>-50000</v>
      </c>
      <c r="E85" s="41"/>
      <c r="F85" s="41"/>
      <c r="G85" s="169"/>
      <c r="H85" s="199"/>
      <c r="I85" s="41"/>
      <c r="J85" s="41"/>
      <c r="K85" s="41"/>
      <c r="L85" s="41"/>
      <c r="M85" s="41"/>
      <c r="N85" s="45">
        <f t="shared" si="4"/>
        <v>-50000</v>
      </c>
    </row>
    <row r="86" spans="1:14" s="8" customFormat="1" ht="32.25" customHeight="1">
      <c r="A86" s="239"/>
      <c r="B86" s="168" t="s">
        <v>223</v>
      </c>
      <c r="C86" s="46">
        <f>D86+G86</f>
        <v>-50000</v>
      </c>
      <c r="D86" s="41">
        <v>-50000</v>
      </c>
      <c r="E86" s="41"/>
      <c r="F86" s="41"/>
      <c r="G86" s="169"/>
      <c r="H86" s="199"/>
      <c r="I86" s="41"/>
      <c r="J86" s="41"/>
      <c r="K86" s="41"/>
      <c r="L86" s="41"/>
      <c r="M86" s="41"/>
      <c r="N86" s="45">
        <f t="shared" si="4"/>
        <v>-50000</v>
      </c>
    </row>
    <row r="87" spans="1:14" s="8" customFormat="1" ht="39" customHeight="1">
      <c r="A87" s="164" t="s">
        <v>123</v>
      </c>
      <c r="B87" s="57" t="s">
        <v>124</v>
      </c>
      <c r="C87" s="172">
        <f>SUM(G87,D87)</f>
        <v>-8578.49</v>
      </c>
      <c r="D87" s="171">
        <f>D89</f>
        <v>-8578.49</v>
      </c>
      <c r="E87" s="84">
        <f>E89</f>
        <v>0</v>
      </c>
      <c r="F87" s="84">
        <f>F89</f>
        <v>0</v>
      </c>
      <c r="G87" s="84">
        <f>G89</f>
        <v>0</v>
      </c>
      <c r="H87" s="59"/>
      <c r="I87" s="84"/>
      <c r="J87" s="84"/>
      <c r="K87" s="84"/>
      <c r="L87" s="84"/>
      <c r="M87" s="84"/>
      <c r="N87" s="214">
        <f t="shared" si="4"/>
        <v>-8578.49</v>
      </c>
    </row>
    <row r="88" spans="1:14" s="8" customFormat="1" ht="33" customHeight="1">
      <c r="A88" s="240" t="s">
        <v>125</v>
      </c>
      <c r="B88" s="211" t="s">
        <v>126</v>
      </c>
      <c r="C88" s="170">
        <f>SUM(G88,D88)</f>
        <v>-8578.49</v>
      </c>
      <c r="D88" s="212">
        <f>D89</f>
        <v>-8578.49</v>
      </c>
      <c r="E88" s="81"/>
      <c r="F88" s="81"/>
      <c r="G88" s="166"/>
      <c r="H88" s="55"/>
      <c r="I88" s="81"/>
      <c r="J88" s="81"/>
      <c r="K88" s="44"/>
      <c r="L88" s="43"/>
      <c r="M88" s="44"/>
      <c r="N88" s="216">
        <f t="shared" si="4"/>
        <v>-8578.49</v>
      </c>
    </row>
    <row r="89" spans="1:14" s="8" customFormat="1" ht="39" customHeight="1">
      <c r="A89" s="208" t="s">
        <v>127</v>
      </c>
      <c r="B89" s="211" t="s">
        <v>128</v>
      </c>
      <c r="C89" s="170">
        <f>SUM(G89,D89)</f>
        <v>-8578.49</v>
      </c>
      <c r="D89" s="212">
        <v>-8578.49</v>
      </c>
      <c r="E89" s="81"/>
      <c r="F89" s="81"/>
      <c r="G89" s="166"/>
      <c r="H89" s="55"/>
      <c r="I89" s="81"/>
      <c r="J89" s="81"/>
      <c r="K89" s="44"/>
      <c r="L89" s="43"/>
      <c r="M89" s="44"/>
      <c r="N89" s="215">
        <f t="shared" si="4"/>
        <v>-8578.49</v>
      </c>
    </row>
    <row r="90" spans="1:14" s="8" customFormat="1" ht="32.25" customHeight="1" thickBot="1">
      <c r="A90" s="164" t="s">
        <v>82</v>
      </c>
      <c r="B90" s="57" t="s">
        <v>83</v>
      </c>
      <c r="C90" s="58">
        <f>-140000-29500</f>
        <v>-169500</v>
      </c>
      <c r="D90" s="84"/>
      <c r="E90" s="84"/>
      <c r="F90" s="84"/>
      <c r="G90" s="84"/>
      <c r="H90" s="59"/>
      <c r="I90" s="84"/>
      <c r="J90" s="84"/>
      <c r="K90" s="84"/>
      <c r="L90" s="84"/>
      <c r="M90" s="84"/>
      <c r="N90" s="193">
        <f t="shared" si="4"/>
        <v>-169500</v>
      </c>
    </row>
    <row r="91" spans="1:14" s="56" customFormat="1" ht="25.5" customHeight="1" thickBot="1">
      <c r="A91" s="182"/>
      <c r="B91" s="79" t="s">
        <v>27</v>
      </c>
      <c r="C91" s="151">
        <f>C27+C77+C90+C43+C10+C54+C87+C58+C81+C65+C8+C84+C63+C61+C75</f>
        <v>1388326</v>
      </c>
      <c r="D91" s="151">
        <f aca="true" t="shared" si="5" ref="D91:N91">D27+D77+D90+D43+D10+D54+D87+D58+D81+D65+D8+D84+D63+D61+D75</f>
        <v>484218</v>
      </c>
      <c r="E91" s="151">
        <f t="shared" si="5"/>
        <v>-101131</v>
      </c>
      <c r="F91" s="151">
        <f t="shared" si="5"/>
        <v>900406</v>
      </c>
      <c r="G91" s="151">
        <f t="shared" si="5"/>
        <v>1073608</v>
      </c>
      <c r="H91" s="151">
        <f t="shared" si="5"/>
        <v>0</v>
      </c>
      <c r="I91" s="151">
        <f t="shared" si="5"/>
        <v>0</v>
      </c>
      <c r="J91" s="151">
        <f t="shared" si="5"/>
        <v>0</v>
      </c>
      <c r="K91" s="151">
        <f t="shared" si="5"/>
        <v>0</v>
      </c>
      <c r="L91" s="151">
        <f t="shared" si="5"/>
        <v>0</v>
      </c>
      <c r="M91" s="151">
        <f t="shared" si="5"/>
        <v>0</v>
      </c>
      <c r="N91" s="151">
        <f t="shared" si="5"/>
        <v>1388326</v>
      </c>
    </row>
    <row r="92" spans="1:14" s="56" customFormat="1" ht="27.75" customHeight="1">
      <c r="A92" s="183"/>
      <c r="B92" s="80" t="s">
        <v>14</v>
      </c>
      <c r="C92" s="62">
        <f aca="true" t="shared" si="6" ref="C92:N92">C93+C106+C102+C104</f>
        <v>34368387</v>
      </c>
      <c r="D92" s="62">
        <f t="shared" si="6"/>
        <v>34368387</v>
      </c>
      <c r="E92" s="62">
        <f t="shared" si="6"/>
        <v>0</v>
      </c>
      <c r="F92" s="62">
        <f t="shared" si="6"/>
        <v>0</v>
      </c>
      <c r="G92" s="62">
        <f t="shared" si="6"/>
        <v>0</v>
      </c>
      <c r="H92" s="62">
        <f t="shared" si="6"/>
        <v>65588</v>
      </c>
      <c r="I92" s="62">
        <f t="shared" si="6"/>
        <v>65588</v>
      </c>
      <c r="J92" s="62">
        <f t="shared" si="6"/>
        <v>0</v>
      </c>
      <c r="K92" s="62">
        <f t="shared" si="6"/>
        <v>0</v>
      </c>
      <c r="L92" s="62">
        <f t="shared" si="6"/>
        <v>0</v>
      </c>
      <c r="M92" s="62">
        <f t="shared" si="6"/>
        <v>0</v>
      </c>
      <c r="N92" s="62">
        <f t="shared" si="6"/>
        <v>34433975</v>
      </c>
    </row>
    <row r="93" spans="1:14" s="56" customFormat="1" ht="37.5" customHeight="1">
      <c r="A93" s="165" t="s">
        <v>28</v>
      </c>
      <c r="B93" s="61" t="s">
        <v>8</v>
      </c>
      <c r="C93" s="58">
        <f>D93+G93</f>
        <v>34136674</v>
      </c>
      <c r="D93" s="58">
        <f>D98+D96+D97+D95+D94+D100+D101</f>
        <v>34136674</v>
      </c>
      <c r="E93" s="58">
        <f aca="true" t="shared" si="7" ref="E93:N93">E98+E96+E97+E95+E94+E100+E101</f>
        <v>0</v>
      </c>
      <c r="F93" s="58">
        <f t="shared" si="7"/>
        <v>0</v>
      </c>
      <c r="G93" s="58">
        <f t="shared" si="7"/>
        <v>0</v>
      </c>
      <c r="H93" s="58">
        <f t="shared" si="7"/>
        <v>0</v>
      </c>
      <c r="I93" s="58">
        <f t="shared" si="7"/>
        <v>0</v>
      </c>
      <c r="J93" s="58">
        <f t="shared" si="7"/>
        <v>0</v>
      </c>
      <c r="K93" s="58">
        <f t="shared" si="7"/>
        <v>0</v>
      </c>
      <c r="L93" s="58">
        <f t="shared" si="7"/>
        <v>0</v>
      </c>
      <c r="M93" s="58">
        <f t="shared" si="7"/>
        <v>0</v>
      </c>
      <c r="N93" s="58">
        <f t="shared" si="7"/>
        <v>34136674</v>
      </c>
    </row>
    <row r="94" spans="1:14" ht="20.25" customHeight="1">
      <c r="A94" s="163"/>
      <c r="B94" s="236" t="s">
        <v>148</v>
      </c>
      <c r="C94" s="46">
        <f>SUM(G94,D94)</f>
        <v>16736000</v>
      </c>
      <c r="D94" s="237">
        <v>16736000</v>
      </c>
      <c r="E94" s="44"/>
      <c r="F94" s="44"/>
      <c r="G94" s="44"/>
      <c r="H94" s="55"/>
      <c r="I94" s="177"/>
      <c r="J94" s="44"/>
      <c r="K94" s="44"/>
      <c r="L94" s="43"/>
      <c r="M94" s="44"/>
      <c r="N94" s="47">
        <f>SUM(H94,C94)</f>
        <v>16736000</v>
      </c>
    </row>
    <row r="95" spans="1:14" ht="67.5" customHeight="1">
      <c r="A95" s="163">
        <v>250326</v>
      </c>
      <c r="B95" s="85" t="s">
        <v>98</v>
      </c>
      <c r="C95" s="46">
        <f>SUM(G95,D95)</f>
        <v>31441900</v>
      </c>
      <c r="D95" s="43">
        <v>31441900</v>
      </c>
      <c r="E95" s="44"/>
      <c r="F95" s="44"/>
      <c r="G95" s="44"/>
      <c r="H95" s="55"/>
      <c r="I95" s="177"/>
      <c r="J95" s="44"/>
      <c r="K95" s="44"/>
      <c r="L95" s="43"/>
      <c r="M95" s="44"/>
      <c r="N95" s="47">
        <f>SUM(H95,C95)</f>
        <v>31441900</v>
      </c>
    </row>
    <row r="96" spans="1:14" ht="94.5" customHeight="1">
      <c r="A96" s="163">
        <v>250328</v>
      </c>
      <c r="B96" s="85" t="s">
        <v>95</v>
      </c>
      <c r="C96" s="46">
        <f aca="true" t="shared" si="8" ref="C96:C106">SUM(G96,D96)</f>
        <v>-6452900</v>
      </c>
      <c r="D96" s="43">
        <v>-6452900</v>
      </c>
      <c r="E96" s="44"/>
      <c r="F96" s="44"/>
      <c r="G96" s="44"/>
      <c r="H96" s="55"/>
      <c r="I96" s="177"/>
      <c r="J96" s="44"/>
      <c r="K96" s="44"/>
      <c r="L96" s="43"/>
      <c r="M96" s="44"/>
      <c r="N96" s="47">
        <f>SUM(H96,C96)</f>
        <v>-6452900</v>
      </c>
    </row>
    <row r="97" spans="1:14" ht="66.75" customHeight="1">
      <c r="A97" s="163" t="s">
        <v>96</v>
      </c>
      <c r="B97" s="85" t="s">
        <v>97</v>
      </c>
      <c r="C97" s="46">
        <f t="shared" si="8"/>
        <v>-23326700</v>
      </c>
      <c r="D97" s="43">
        <v>-23326700</v>
      </c>
      <c r="E97" s="44"/>
      <c r="F97" s="44"/>
      <c r="G97" s="44"/>
      <c r="H97" s="55"/>
      <c r="I97" s="177"/>
      <c r="J97" s="44"/>
      <c r="K97" s="44"/>
      <c r="L97" s="43"/>
      <c r="M97" s="44"/>
      <c r="N97" s="47">
        <f>SUM(H97,C97)</f>
        <v>-23326700</v>
      </c>
    </row>
    <row r="98" spans="1:14" ht="18" customHeight="1">
      <c r="A98" s="163" t="s">
        <v>84</v>
      </c>
      <c r="B98" s="85" t="s">
        <v>116</v>
      </c>
      <c r="C98" s="46">
        <f t="shared" si="8"/>
        <v>-35000</v>
      </c>
      <c r="D98" s="153">
        <f>D99</f>
        <v>-35000</v>
      </c>
      <c r="E98" s="153">
        <f>E99</f>
        <v>0</v>
      </c>
      <c r="F98" s="153">
        <f>F99</f>
        <v>0</v>
      </c>
      <c r="G98" s="153">
        <f>G99</f>
        <v>0</v>
      </c>
      <c r="H98" s="46"/>
      <c r="I98" s="166"/>
      <c r="J98" s="81"/>
      <c r="K98" s="81"/>
      <c r="L98" s="153"/>
      <c r="M98" s="81"/>
      <c r="N98" s="45">
        <f aca="true" t="shared" si="9" ref="N98:N108">SUM(H98,C98)</f>
        <v>-35000</v>
      </c>
    </row>
    <row r="99" spans="1:14" ht="26.25" customHeight="1">
      <c r="A99" s="163"/>
      <c r="B99" s="85" t="s">
        <v>117</v>
      </c>
      <c r="C99" s="46">
        <f>SUM(G99,D99)</f>
        <v>-35000</v>
      </c>
      <c r="D99" s="153">
        <v>-35000</v>
      </c>
      <c r="E99" s="81"/>
      <c r="F99" s="81"/>
      <c r="G99" s="166"/>
      <c r="H99" s="46"/>
      <c r="I99" s="166"/>
      <c r="J99" s="81"/>
      <c r="K99" s="81"/>
      <c r="L99" s="153"/>
      <c r="M99" s="81"/>
      <c r="N99" s="45">
        <f t="shared" si="9"/>
        <v>-35000</v>
      </c>
    </row>
    <row r="100" spans="1:14" ht="80.25" customHeight="1">
      <c r="A100" s="155" t="s">
        <v>230</v>
      </c>
      <c r="B100" s="168" t="s">
        <v>229</v>
      </c>
      <c r="C100" s="46">
        <f>SUM(G100,D100)</f>
        <v>16820200</v>
      </c>
      <c r="D100" s="254">
        <v>16820200</v>
      </c>
      <c r="E100" s="81"/>
      <c r="F100" s="81"/>
      <c r="G100" s="166"/>
      <c r="H100" s="46"/>
      <c r="I100" s="166"/>
      <c r="J100" s="81"/>
      <c r="K100" s="81"/>
      <c r="L100" s="153"/>
      <c r="M100" s="81"/>
      <c r="N100" s="45">
        <f t="shared" si="9"/>
        <v>16820200</v>
      </c>
    </row>
    <row r="101" spans="1:14" ht="68.25" customHeight="1">
      <c r="A101" s="163" t="s">
        <v>232</v>
      </c>
      <c r="B101" s="85" t="s">
        <v>149</v>
      </c>
      <c r="C101" s="46">
        <f>SUM(G101,D101)</f>
        <v>-1046826</v>
      </c>
      <c r="D101" s="43">
        <v>-1046826</v>
      </c>
      <c r="E101" s="81"/>
      <c r="F101" s="81"/>
      <c r="G101" s="166"/>
      <c r="H101" s="46"/>
      <c r="I101" s="166"/>
      <c r="J101" s="81"/>
      <c r="K101" s="81"/>
      <c r="L101" s="153"/>
      <c r="M101" s="81"/>
      <c r="N101" s="45">
        <f t="shared" si="9"/>
        <v>-1046826</v>
      </c>
    </row>
    <row r="102" spans="1:14" s="56" customFormat="1" ht="42.75" customHeight="1">
      <c r="A102" s="165" t="s">
        <v>113</v>
      </c>
      <c r="B102" s="61" t="s">
        <v>218</v>
      </c>
      <c r="C102" s="58">
        <f t="shared" si="8"/>
        <v>187713</v>
      </c>
      <c r="D102" s="58">
        <f>D103</f>
        <v>187713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194">
        <f t="shared" si="9"/>
        <v>187713</v>
      </c>
    </row>
    <row r="103" spans="1:14" ht="90.75" customHeight="1">
      <c r="A103" s="265" t="s">
        <v>99</v>
      </c>
      <c r="B103" s="85" t="s">
        <v>100</v>
      </c>
      <c r="C103" s="81">
        <f>D103+G103</f>
        <v>187713</v>
      </c>
      <c r="D103" s="177">
        <v>187713</v>
      </c>
      <c r="E103" s="81"/>
      <c r="F103" s="81"/>
      <c r="G103" s="166"/>
      <c r="H103" s="46"/>
      <c r="I103" s="166"/>
      <c r="J103" s="81"/>
      <c r="K103" s="81"/>
      <c r="L103" s="153"/>
      <c r="M103" s="81"/>
      <c r="N103" s="45">
        <f t="shared" si="9"/>
        <v>187713</v>
      </c>
    </row>
    <row r="104" spans="1:14" s="56" customFormat="1" ht="60" customHeight="1">
      <c r="A104" s="165" t="s">
        <v>79</v>
      </c>
      <c r="B104" s="61" t="s">
        <v>231</v>
      </c>
      <c r="C104" s="58"/>
      <c r="D104" s="58"/>
      <c r="E104" s="58"/>
      <c r="F104" s="58"/>
      <c r="G104" s="58"/>
      <c r="H104" s="58">
        <f>H105+H135</f>
        <v>65588</v>
      </c>
      <c r="I104" s="58">
        <f>I105</f>
        <v>65588</v>
      </c>
      <c r="J104" s="58"/>
      <c r="K104" s="58"/>
      <c r="L104" s="58"/>
      <c r="M104" s="58"/>
      <c r="N104" s="194">
        <f t="shared" si="9"/>
        <v>65588</v>
      </c>
    </row>
    <row r="105" spans="1:14" ht="149.25" customHeight="1">
      <c r="A105" s="265" t="s">
        <v>80</v>
      </c>
      <c r="B105" s="161" t="s">
        <v>81</v>
      </c>
      <c r="C105" s="46"/>
      <c r="D105" s="43"/>
      <c r="E105" s="81"/>
      <c r="F105" s="81"/>
      <c r="G105" s="81"/>
      <c r="H105" s="55">
        <f>I105+L105</f>
        <v>65588</v>
      </c>
      <c r="I105" s="166">
        <v>65588</v>
      </c>
      <c r="J105" s="81"/>
      <c r="K105" s="44"/>
      <c r="L105" s="43"/>
      <c r="M105" s="44"/>
      <c r="N105" s="45">
        <f t="shared" si="9"/>
        <v>65588</v>
      </c>
    </row>
    <row r="106" spans="1:14" s="56" customFormat="1" ht="46.5" customHeight="1">
      <c r="A106" s="165" t="s">
        <v>119</v>
      </c>
      <c r="B106" s="61" t="s">
        <v>120</v>
      </c>
      <c r="C106" s="58">
        <f t="shared" si="8"/>
        <v>44000</v>
      </c>
      <c r="D106" s="58">
        <f>D107</f>
        <v>44000</v>
      </c>
      <c r="E106" s="58"/>
      <c r="F106" s="58"/>
      <c r="G106" s="58"/>
      <c r="H106" s="58"/>
      <c r="I106" s="58"/>
      <c r="J106" s="58"/>
      <c r="K106" s="58"/>
      <c r="L106" s="58"/>
      <c r="M106" s="58"/>
      <c r="N106" s="194">
        <f t="shared" si="9"/>
        <v>44000</v>
      </c>
    </row>
    <row r="107" spans="1:14" ht="37.5" customHeight="1">
      <c r="A107" s="251"/>
      <c r="B107" s="243" t="s">
        <v>121</v>
      </c>
      <c r="C107" s="46">
        <f>SUM(G107,D107)</f>
        <v>44000</v>
      </c>
      <c r="D107" s="153">
        <f>D108</f>
        <v>44000</v>
      </c>
      <c r="E107" s="81"/>
      <c r="F107" s="81"/>
      <c r="G107" s="166"/>
      <c r="H107" s="46"/>
      <c r="I107" s="166"/>
      <c r="J107" s="81"/>
      <c r="K107" s="81"/>
      <c r="L107" s="153"/>
      <c r="M107" s="81"/>
      <c r="N107" s="45">
        <f t="shared" si="9"/>
        <v>44000</v>
      </c>
    </row>
    <row r="108" spans="1:14" ht="30.75" customHeight="1" thickBot="1">
      <c r="A108" s="252" t="s">
        <v>84</v>
      </c>
      <c r="B108" s="243" t="s">
        <v>122</v>
      </c>
      <c r="C108" s="46">
        <f>SUM(G108,D108)</f>
        <v>44000</v>
      </c>
      <c r="D108" s="153">
        <v>44000</v>
      </c>
      <c r="E108" s="81"/>
      <c r="F108" s="81"/>
      <c r="G108" s="166"/>
      <c r="H108" s="46"/>
      <c r="I108" s="166"/>
      <c r="J108" s="81"/>
      <c r="K108" s="81"/>
      <c r="L108" s="153"/>
      <c r="M108" s="81"/>
      <c r="N108" s="45">
        <f t="shared" si="9"/>
        <v>44000</v>
      </c>
    </row>
    <row r="109" spans="1:14" s="56" customFormat="1" ht="26.25" customHeight="1" thickBot="1">
      <c r="A109" s="63"/>
      <c r="B109" s="64" t="s">
        <v>32</v>
      </c>
      <c r="C109" s="78">
        <f>C91+C92</f>
        <v>35756713</v>
      </c>
      <c r="D109" s="78">
        <f aca="true" t="shared" si="10" ref="D109:N109">D91+D92</f>
        <v>34852605</v>
      </c>
      <c r="E109" s="78">
        <f t="shared" si="10"/>
        <v>-101131</v>
      </c>
      <c r="F109" s="78">
        <f t="shared" si="10"/>
        <v>900406</v>
      </c>
      <c r="G109" s="78">
        <f t="shared" si="10"/>
        <v>1073608</v>
      </c>
      <c r="H109" s="78">
        <f t="shared" si="10"/>
        <v>65588</v>
      </c>
      <c r="I109" s="78">
        <f t="shared" si="10"/>
        <v>65588</v>
      </c>
      <c r="J109" s="78">
        <f t="shared" si="10"/>
        <v>0</v>
      </c>
      <c r="K109" s="86">
        <f t="shared" si="10"/>
        <v>0</v>
      </c>
      <c r="L109" s="86">
        <f>L91+L92</f>
        <v>0</v>
      </c>
      <c r="M109" s="86">
        <f t="shared" si="10"/>
        <v>0</v>
      </c>
      <c r="N109" s="87">
        <f t="shared" si="10"/>
        <v>35822301</v>
      </c>
    </row>
    <row r="110" spans="1:14" ht="13.5" customHeight="1">
      <c r="A110" s="34"/>
      <c r="C110" s="4"/>
      <c r="D110" s="2"/>
      <c r="E110" s="2"/>
      <c r="F110" s="2"/>
      <c r="G110" s="2"/>
      <c r="H110" s="6"/>
      <c r="I110" s="2"/>
      <c r="J110" s="2"/>
      <c r="K110" s="2"/>
      <c r="L110" s="2"/>
      <c r="M110" s="2"/>
      <c r="N110" s="4"/>
    </row>
    <row r="111" spans="1:14" ht="18.75">
      <c r="A111" s="15"/>
      <c r="B111" s="18"/>
      <c r="C111" s="4"/>
      <c r="D111" s="2"/>
      <c r="E111" s="2"/>
      <c r="F111" s="2"/>
      <c r="G111" s="2"/>
      <c r="H111" s="6"/>
      <c r="I111" s="2"/>
      <c r="J111" s="2"/>
      <c r="K111" s="19"/>
      <c r="L111" s="2"/>
      <c r="M111" s="2"/>
      <c r="N111" s="76"/>
    </row>
    <row r="112" spans="1:14" ht="18.75">
      <c r="A112" s="16"/>
      <c r="B112" s="299" t="s">
        <v>68</v>
      </c>
      <c r="C112" s="299"/>
      <c r="D112" s="299"/>
      <c r="E112" s="27"/>
      <c r="G112" s="32"/>
      <c r="H112" s="33"/>
      <c r="I112" s="32"/>
      <c r="J112" s="32"/>
      <c r="K112" s="28" t="s">
        <v>63</v>
      </c>
      <c r="L112" s="32"/>
      <c r="M112" s="2"/>
      <c r="N112" s="4"/>
    </row>
    <row r="113" spans="1:14" ht="12.75">
      <c r="A113" s="3"/>
      <c r="C113" s="4"/>
      <c r="D113" s="2"/>
      <c r="E113" s="2"/>
      <c r="F113" s="2"/>
      <c r="G113" s="2"/>
      <c r="H113" s="6"/>
      <c r="I113" s="2"/>
      <c r="J113" s="2"/>
      <c r="K113" s="2"/>
      <c r="L113" s="2"/>
      <c r="M113" s="2"/>
      <c r="N113" s="4"/>
    </row>
    <row r="114" spans="1:3" ht="15">
      <c r="A114" s="15"/>
      <c r="C114" s="152"/>
    </row>
    <row r="115" spans="1:3" ht="13.5" thickBot="1">
      <c r="A115" s="15"/>
      <c r="C115" s="39"/>
    </row>
    <row r="116" spans="1:14" ht="12.75">
      <c r="A116" s="15"/>
      <c r="B116" s="88" t="s">
        <v>30</v>
      </c>
      <c r="C116" s="89">
        <f>C91-'додаток 2'!C46</f>
        <v>0</v>
      </c>
      <c r="D116" s="90">
        <f>D91-'додаток 2'!D46</f>
        <v>0</v>
      </c>
      <c r="E116" s="90">
        <f>E91-'додаток 2'!E46</f>
        <v>0</v>
      </c>
      <c r="F116" s="90">
        <f>F91-'додаток 2'!F46</f>
        <v>0</v>
      </c>
      <c r="G116" s="90">
        <f>G91-'додаток 2'!G46</f>
        <v>0</v>
      </c>
      <c r="H116" s="91">
        <f>H91-'додаток 2'!H46</f>
        <v>0</v>
      </c>
      <c r="I116" s="90">
        <f>I91-'додаток 2'!I46</f>
        <v>0</v>
      </c>
      <c r="J116" s="90">
        <f>J91-'додаток 2'!J46</f>
        <v>0</v>
      </c>
      <c r="K116" s="90">
        <f>K91-'додаток 2'!K46</f>
        <v>0</v>
      </c>
      <c r="L116" s="90">
        <f>L91-'додаток 2'!L46</f>
        <v>0</v>
      </c>
      <c r="M116" s="90">
        <f>M91-'додаток 2'!M46</f>
        <v>0</v>
      </c>
      <c r="N116" s="92">
        <f>N91-'додаток 2'!N46</f>
        <v>0</v>
      </c>
    </row>
    <row r="117" spans="1:14" ht="13.5" thickBot="1">
      <c r="A117" s="15"/>
      <c r="B117" s="93" t="s">
        <v>29</v>
      </c>
      <c r="C117" s="94">
        <f>C109-'додаток 2'!C59</f>
        <v>0</v>
      </c>
      <c r="D117" s="95">
        <f>D109-'додаток 2'!D59</f>
        <v>0</v>
      </c>
      <c r="E117" s="95">
        <f>E109-'додаток 2'!E59</f>
        <v>0</v>
      </c>
      <c r="F117" s="95">
        <f>F109-'додаток 2'!F59</f>
        <v>0</v>
      </c>
      <c r="G117" s="95">
        <f>G109-'додаток 2'!G59</f>
        <v>0</v>
      </c>
      <c r="H117" s="96">
        <f>H109-'додаток 2'!H59</f>
        <v>0</v>
      </c>
      <c r="I117" s="95">
        <f>I109-'додаток 2'!I59</f>
        <v>0</v>
      </c>
      <c r="J117" s="95">
        <f>J109-'додаток 2'!J59</f>
        <v>0</v>
      </c>
      <c r="K117" s="95">
        <f>K109-'додаток 2'!K59</f>
        <v>0</v>
      </c>
      <c r="L117" s="95">
        <f>L109-'додаток 2'!L59</f>
        <v>0</v>
      </c>
      <c r="M117" s="95">
        <f>M109-'додаток 2'!M59</f>
        <v>0</v>
      </c>
      <c r="N117" s="97">
        <f>N109-'додаток 2'!N59</f>
        <v>0</v>
      </c>
    </row>
    <row r="118" spans="1:14" ht="12.75">
      <c r="A118" s="15"/>
      <c r="C118" s="68">
        <f>C125-C109-C126</f>
        <v>-35756713</v>
      </c>
      <c r="D118" s="68">
        <f aca="true" t="shared" si="11" ref="D118:M118">D109-D125</f>
        <v>34852605</v>
      </c>
      <c r="E118" s="68">
        <f t="shared" si="11"/>
        <v>-101131</v>
      </c>
      <c r="F118" s="68">
        <f t="shared" si="11"/>
        <v>900406</v>
      </c>
      <c r="G118" s="68">
        <f t="shared" si="11"/>
        <v>1073608</v>
      </c>
      <c r="H118" s="68">
        <f t="shared" si="11"/>
        <v>65588</v>
      </c>
      <c r="I118" s="68">
        <f t="shared" si="11"/>
        <v>65588</v>
      </c>
      <c r="J118" s="68">
        <f t="shared" si="11"/>
        <v>0</v>
      </c>
      <c r="K118" s="68">
        <f t="shared" si="11"/>
        <v>0</v>
      </c>
      <c r="L118" s="68">
        <f t="shared" si="11"/>
        <v>0</v>
      </c>
      <c r="M118" s="68">
        <f t="shared" si="11"/>
        <v>0</v>
      </c>
      <c r="N118" s="68">
        <f>N109-N125</f>
        <v>35822301</v>
      </c>
    </row>
    <row r="119" spans="1:3" ht="12.75">
      <c r="A119" s="15"/>
      <c r="B119" s="12" t="s">
        <v>31</v>
      </c>
      <c r="C119" s="68">
        <f>'додаток 1 '!C21-'додаток 3'!C109</f>
        <v>0</v>
      </c>
    </row>
    <row r="120" spans="1:13" ht="12.75">
      <c r="A120" s="15"/>
      <c r="H120" s="206">
        <f>'додаток 1 '!D21-'додаток 3'!H109</f>
        <v>0</v>
      </c>
      <c r="I120" s="207"/>
      <c r="M120" s="207">
        <f>'додаток 1 '!E21-'додаток 3'!M109</f>
        <v>0</v>
      </c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spans="1:14" ht="12.75">
      <c r="A126" s="15"/>
      <c r="N126" s="1">
        <v>3594718</v>
      </c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</sheetData>
  <sheetProtection/>
  <mergeCells count="16">
    <mergeCell ref="N3:N6"/>
    <mergeCell ref="D4:G4"/>
    <mergeCell ref="C4:C6"/>
    <mergeCell ref="E5:F5"/>
    <mergeCell ref="D5:D6"/>
    <mergeCell ref="G5:G6"/>
    <mergeCell ref="H4:H6"/>
    <mergeCell ref="I5:I6"/>
    <mergeCell ref="J5:K5"/>
    <mergeCell ref="L5:L6"/>
    <mergeCell ref="A3:A5"/>
    <mergeCell ref="B112:D112"/>
    <mergeCell ref="C3:G3"/>
    <mergeCell ref="H3:M3"/>
    <mergeCell ref="M5:M6"/>
    <mergeCell ref="I4:L4"/>
  </mergeCells>
  <printOptions horizontalCentered="1"/>
  <pageMargins left="0.17" right="0.23" top="0.45" bottom="0.19" header="0.36" footer="0.17"/>
  <pageSetup horizontalDpi="600" verticalDpi="600" orientation="landscape" paperSize="9" scale="55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2006-12-06T17:16:40Z</cp:lastPrinted>
  <dcterms:created xsi:type="dcterms:W3CDTF">2001-12-29T15:32:18Z</dcterms:created>
  <dcterms:modified xsi:type="dcterms:W3CDTF">2017-06-22T08:49:05Z</dcterms:modified>
  <cp:category/>
  <cp:version/>
  <cp:contentType/>
  <cp:contentStatus/>
</cp:coreProperties>
</file>