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2'!$A$1:$N$73</definedName>
    <definedName name="_xlnm.Print_Area" localSheetId="0">'додаток 3'!$A$1:$N$187</definedName>
  </definedNames>
  <calcPr fullCalcOnLoad="1"/>
</workbook>
</file>

<file path=xl/sharedStrings.xml><?xml version="1.0" encoding="utf-8"?>
<sst xmlns="http://schemas.openxmlformats.org/spreadsheetml/2006/main" count="461" uniqueCount="334">
  <si>
    <t>видатки на виготовлення документів про освіту</t>
  </si>
  <si>
    <t>091108</t>
  </si>
  <si>
    <t>090417</t>
  </si>
  <si>
    <t>Витрати на поховання учасників бойових дій</t>
  </si>
  <si>
    <t>Цiльовi фонди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</si>
  <si>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</si>
  <si>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</si>
  <si>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</si>
  <si>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</si>
  <si>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Санаторії для дітей та підлітків (нетуберкульозні)</t>
  </si>
  <si>
    <t>Центри здоров‘я і заходи у сфері санітарної освіти</t>
  </si>
  <si>
    <t>010000</t>
  </si>
  <si>
    <t>080000</t>
  </si>
  <si>
    <t>091101</t>
  </si>
  <si>
    <t>091102</t>
  </si>
  <si>
    <t>091103</t>
  </si>
  <si>
    <t>091104</t>
  </si>
  <si>
    <t>091106</t>
  </si>
  <si>
    <t>Бюджетні позички, в тому числі:</t>
  </si>
  <si>
    <t>- наданих під регіональне замовлення по зерну</t>
  </si>
  <si>
    <t>- наданих ДП "Укрбурштин"</t>
  </si>
  <si>
    <t>090000</t>
  </si>
  <si>
    <t>090413</t>
  </si>
  <si>
    <t>090601</t>
  </si>
  <si>
    <t>090901</t>
  </si>
  <si>
    <t>091210</t>
  </si>
  <si>
    <t>091212</t>
  </si>
  <si>
    <t>091214</t>
  </si>
  <si>
    <t>070702</t>
  </si>
  <si>
    <t>090700</t>
  </si>
  <si>
    <t>210110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</si>
  <si>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</si>
  <si>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</si>
  <si>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</si>
  <si>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</si>
  <si>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</si>
  <si>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</si>
  <si>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</si>
  <si>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</si>
  <si>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</si>
  <si>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</si>
  <si>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</si>
  <si>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</si>
  <si>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</si>
  <si>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</si>
  <si>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ОДП ДАК "Хліб України"</t>
  </si>
  <si>
    <t>ДП "Укрбурштин"</t>
  </si>
  <si>
    <t>010116</t>
  </si>
  <si>
    <t>Утримання обласної ради</t>
  </si>
  <si>
    <t>250404</t>
  </si>
  <si>
    <t>- повернення бюджетних позичок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</si>
  <si>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</si>
  <si>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</si>
  <si>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</si>
  <si>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</si>
  <si>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</si>
  <si>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</si>
  <si>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</si>
  <si>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</si>
  <si>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081001</t>
  </si>
  <si>
    <t>Медико-соціальні експертні комісії</t>
  </si>
  <si>
    <t>081002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</si>
  <si>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</si>
  <si>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</si>
  <si>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</si>
  <si>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</si>
  <si>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</si>
  <si>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</si>
  <si>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</si>
  <si>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</si>
  <si>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</si>
  <si>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070304</t>
  </si>
  <si>
    <t>130203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</si>
  <si>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</si>
  <si>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</si>
  <si>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</si>
  <si>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</si>
  <si>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</si>
  <si>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</si>
  <si>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</si>
  <si>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Заходи з організації рятування на водах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</si>
  <si>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</si>
  <si>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</si>
  <si>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</si>
  <si>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</si>
  <si>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</si>
  <si>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 xml:space="preserve">Спеціалізовані лікарні та інші спеціалізовані заклади </t>
  </si>
  <si>
    <t>Медична бібліотека</t>
  </si>
  <si>
    <t>Будинки- інтернати для малолітніх інвалідів</t>
  </si>
  <si>
    <t>Служби технічного нагляду за будівництвом та капітальним ремонтом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</si>
  <si>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</si>
  <si>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</si>
  <si>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</si>
  <si>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</si>
  <si>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</si>
  <si>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</si>
  <si>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</si>
  <si>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</si>
  <si>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</si>
  <si>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</si>
  <si>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</si>
  <si>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</si>
  <si>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</si>
  <si>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</si>
  <si>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</si>
  <si>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</si>
  <si>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</si>
  <si>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</si>
  <si>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</si>
  <si>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</si>
  <si>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</si>
  <si>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</si>
  <si>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</si>
  <si>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</si>
  <si>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</si>
  <si>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Утримання та навчально-тренувальна робота дитячо-юнацьких спортивних шкiл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</si>
  <si>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</si>
  <si>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</si>
  <si>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</si>
  <si>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250904</t>
  </si>
  <si>
    <t>070307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</si>
  <si>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</si>
  <si>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</si>
  <si>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</si>
  <si>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</si>
  <si>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</si>
  <si>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обласна програма "Вчитель"</t>
  </si>
  <si>
    <t>Іншi видатки, в т.ч.</t>
  </si>
  <si>
    <t>Будинки-iнтернати (пансіонати) для літніх людей та iнвалiдiв системи соцiального захисту</t>
  </si>
  <si>
    <t>250330</t>
  </si>
  <si>
    <t>250329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</si>
  <si>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</si>
  <si>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130112</t>
  </si>
  <si>
    <t>Дитячі будинки (в т.ч. сімейного типу, прийомні сім'ї)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</si>
  <si>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</si>
  <si>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</si>
  <si>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зубопротезування і придбання слухових апаратів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</si>
  <si>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</si>
  <si>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</si>
  <si>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</si>
  <si>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утримання науково-редакційної групи книги "Реабілітовані історією. Рівненська область"</t>
  </si>
  <si>
    <t>130106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</si>
  <si>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</si>
  <si>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</si>
  <si>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</si>
  <si>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</si>
  <si>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</si>
  <si>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</si>
  <si>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</si>
  <si>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</si>
  <si>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</si>
  <si>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</si>
  <si>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</si>
  <si>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220</t>
  </si>
  <si>
    <t xml:space="preserve"> культурно-освітні заходи</t>
  </si>
  <si>
    <t>200</t>
  </si>
  <si>
    <t>070</t>
  </si>
  <si>
    <t>230</t>
  </si>
  <si>
    <t>191</t>
  </si>
  <si>
    <t>081009</t>
  </si>
  <si>
    <t>130202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</si>
  <si>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</si>
  <si>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</si>
  <si>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</si>
  <si>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</si>
  <si>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</si>
  <si>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250335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</si>
  <si>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</si>
  <si>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</si>
  <si>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</si>
  <si>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Запобігання та лiквiдацiя надзвичайних ситуацiй та наслiдкiв стихiйного лиха</t>
  </si>
  <si>
    <t xml:space="preserve">Охорона і раціональне використання земель </t>
  </si>
  <si>
    <t>010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</si>
  <si>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</si>
  <si>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</si>
  <si>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доходи</t>
  </si>
  <si>
    <t>кредитування</t>
  </si>
  <si>
    <t>додаток 2</t>
  </si>
  <si>
    <t>дод 2 разом</t>
  </si>
  <si>
    <t>з доходами</t>
  </si>
  <si>
    <t>Методична робота, iншi заходи у сфері народної освiти, в т.ч.:</t>
  </si>
  <si>
    <t>Інші освітні програми, в т.ч.:</t>
  </si>
  <si>
    <t>ВСЬОГО</t>
  </si>
  <si>
    <t>грн.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</si>
  <si>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області)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</si>
  <si>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</si>
  <si>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</si>
  <si>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</si>
  <si>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090701</t>
  </si>
  <si>
    <t>250380</t>
  </si>
  <si>
    <t xml:space="preserve">Інші субвенції </t>
  </si>
  <si>
    <t>Конкурс "Учитель року"</t>
  </si>
  <si>
    <t>250376</t>
  </si>
  <si>
    <t>Інші субвенції (на пільгове медичне обслуговування громадян, які постраждали внаслідок аварії на ЧАЕС)</t>
  </si>
  <si>
    <t>на пільгове медичне обслуговування громадян, які постраждали внаслідок аварії на ЧАЕС</t>
  </si>
  <si>
    <t>премії голови облдержадміністрації та голови обласної ради</t>
  </si>
  <si>
    <t>конкурси фахової майстерності учнів ПТНЗ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</si>
  <si>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</si>
  <si>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Центри соціально-психологічної реабілітації дітей</t>
  </si>
  <si>
    <t>Служба у справах дітей облдержадміністрації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</si>
  <si>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</si>
  <si>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</si>
  <si>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</si>
  <si>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</si>
  <si>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</si>
  <si>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</si>
  <si>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</si>
  <si>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14 (3+8)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</si>
  <si>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</si>
  <si>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</si>
  <si>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</si>
  <si>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</si>
  <si>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</si>
  <si>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 учнівські олімпіади, турніри, конкурси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</si>
  <si>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</si>
  <si>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програма розвитку освіти в області на 2006-2010 роки</t>
  </si>
  <si>
    <t>програма забезпечення реалізації державної політики у сфері міжнаціональних відносин та  розвитку культур національних меншин Рівненщини на 2007-2010 роки</t>
  </si>
  <si>
    <t>програма інформатизації освітньо-виховної діяльності навчальних закладів області на 2006-2010 роки</t>
  </si>
  <si>
    <t>Управління культури і туризму облдержадміністрації</t>
  </si>
  <si>
    <t>130201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</si>
  <si>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</si>
  <si>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</si>
  <si>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</si>
  <si>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</si>
  <si>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300 250102</t>
  </si>
  <si>
    <t>в т.ч.</t>
  </si>
  <si>
    <t>Проведення заходів з нетрадиційних видів спорту і масових заходів з фізичної культури</t>
  </si>
  <si>
    <t>Утримання апарату управління громадських фізкультурно-спортивних організацій (громадська організація РОО ВФСТ "Колос" АПК України)</t>
  </si>
  <si>
    <t xml:space="preserve"> Інші установи та заклади </t>
  </si>
  <si>
    <t>Управління з питань надзвичайних ситуацій та цивільного захисту населення облдержадміністрації</t>
  </si>
  <si>
    <t>Головне управління економіки та інвестиційної політики облдержадміністрації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</si>
  <si>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</si>
  <si>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Повернення бюджетних позичок:</t>
  </si>
  <si>
    <t>Головне управління праці та соціального захисту населення облдержадміністрації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</si>
  <si>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</si>
  <si>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</si>
  <si>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250313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</si>
  <si>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</si>
  <si>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 освіти та науки облдержадміністрації</t>
  </si>
  <si>
    <t>Управління охорони здоров’я  облдержадміністрації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</si>
  <si>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</si>
  <si>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Видатки</t>
  </si>
  <si>
    <t>програма роботи з обдарованою молоддю області на 2007-2010 роки</t>
  </si>
  <si>
    <t>Охорона здоров'я</t>
  </si>
  <si>
    <t>Програма організації рятування людей на водних об'єктах Рівненської області на 2009-2012 роки</t>
  </si>
  <si>
    <t>250306</t>
  </si>
  <si>
    <t>Кошти, що передаються із загального фонду бюджету до бюджету розвитку (спеціального фонду)</t>
  </si>
  <si>
    <t>Притулок для дітей</t>
  </si>
  <si>
    <t>Інші послуги, пов'язані  з економічною діяльністю</t>
  </si>
  <si>
    <t>Програма підтримки молоді в області на 2009-2015 роки</t>
  </si>
  <si>
    <t>Обласна програма підтримки сім'ї на період до 2010 року</t>
  </si>
  <si>
    <t>Обласна програма з утвердження гендерної рівності в українському суспільстві на період до 2010 року</t>
  </si>
  <si>
    <t>Обласна програма протидії торгівлі людьми на період до 2010 року</t>
  </si>
  <si>
    <t>Обласна програма відпочинку та оздоровлення дітей на 2009-2013 роки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</si>
  <si>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</si>
  <si>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</si>
  <si>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Відділ з питань фізичної культури і  спорту  облдержадміністрації</t>
  </si>
  <si>
    <t>Забезпечення централізованих заходів з лікування хворих на цукровий та нецукровий діабет</t>
  </si>
  <si>
    <t>гранти, стипендії та премії голови облдержадміністрації та голови обласної ради</t>
  </si>
  <si>
    <t>Вищі навчальні заклади І та ІІ рівнів акредитації</t>
  </si>
  <si>
    <t>Інші заходи по охороні здоров'я, в т.ч.</t>
  </si>
  <si>
    <t>Проведення заходів з нетрадиційних видів спорту і масових заходів з фізичної культури( громадська організація ВФСТ "Колос" АПК України)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</si>
  <si>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</si>
  <si>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</si>
  <si>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</si>
  <si>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Спеціалізовані поліклініки (в тому числі диспансери, які не мають ліжкового фонду)</t>
  </si>
  <si>
    <t>В.А.Королюк</t>
  </si>
  <si>
    <t>до рішення Рівненської обласної  ради</t>
  </si>
  <si>
    <t>Інші видатки (утримання науково-редакційної групи книги "Реабілітовані історією. Рівненська область")</t>
  </si>
  <si>
    <t>Головне управління  з питань будівництва та архітектури облдержадміністрації</t>
  </si>
  <si>
    <t>Інша діяльність у сфері охорони навколишнього природного середовища </t>
  </si>
  <si>
    <t>240604</t>
  </si>
  <si>
    <t>Охорона і раціональне використання земель </t>
  </si>
  <si>
    <t>Субвенція з державного бюджету місцевим бюджетам на фінансування у 2010 році Програм- переможців Всеукраїнського конкурсу проектів та програм розвитку місцевого самоврядування 2009 року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</si>
  <si>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</si>
  <si>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</si>
  <si>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</si>
  <si>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</si>
  <si>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</si>
  <si>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>обласний центр медико-соціальної реабілітації  дітей з органічними ураженнями нервової системи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</si>
  <si>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</si>
  <si>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</si>
  <si>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081008</t>
  </si>
  <si>
    <t>Програми і централізовані заходи профілактики СНІДу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</si>
  <si>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</si>
  <si>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центр  професійної реабілітації інвалідів та центр з надання соцпослуг інвалідам, ветеранам війни і праці та іншим найбільш незахищеним верствам населення</t>
  </si>
  <si>
    <t>150101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</si>
  <si>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</si>
  <si>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180409</t>
  </si>
  <si>
    <t xml:space="preserve">Внески органів влади Автономної Республіки Крим та органів місцевого самоврядування у статутні фонди суб'єктів підприємницької діяльності  </t>
  </si>
  <si>
    <t>програма підвищення безпеки дорожнього руху в Рівненській області на 2008-2012 роки</t>
  </si>
  <si>
    <t>програма підтримки молоді в області на 2009-2015 роки</t>
  </si>
  <si>
    <t>090802</t>
  </si>
  <si>
    <t>Інші програми соціального захисту дітей </t>
  </si>
  <si>
    <t>Обласна програма подолання дитячої безпритульності і бездоглядності на 2006-2010 роки</t>
  </si>
  <si>
    <t>План заходів з виконання у 2010 році Загальнодержавної програми "Національний план дій щодо реалізації Конвенції ООН про права дитини" на період до 2016 року</t>
  </si>
  <si>
    <t xml:space="preserve">Соціальні програми і заходи державних органів з питань забезпечення рівних прав та можливостей жінок і чоловіків </t>
  </si>
  <si>
    <t>Соціальні програми і заходи державних органів у справах сім'ї </t>
  </si>
  <si>
    <t>091107</t>
  </si>
  <si>
    <t>Рівненський центр соціально-психологічної допомоги Рівненської обласної ради</t>
  </si>
  <si>
    <t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</t>
  </si>
  <si>
    <t xml:space="preserve">Видатки обласного  бюджету  на   2010 рік </t>
  </si>
  <si>
    <t>від ____________ 2010 року № ______</t>
  </si>
  <si>
    <t>Допомога на догляд за інвалідом I чи II групи внаслідок психічного розладу </t>
  </si>
  <si>
    <t>Рівненський обласний соціальний гуртожиток Рівненської обласної ради</t>
  </si>
  <si>
    <t>статистичні, інформаційно-аналітичні збірники</t>
  </si>
  <si>
    <t>Інші заклади освіти (психолого-медико-педагогічна консультація)</t>
  </si>
  <si>
    <t>за рахунок інших субвенцій з місцевих бюджетів</t>
  </si>
  <si>
    <t xml:space="preserve">Інші видатки </t>
  </si>
  <si>
    <t>проведення щорічного обласного конкурсу проектів розвитку територіальних громад області</t>
  </si>
  <si>
    <t>120201</t>
  </si>
  <si>
    <t>Періодичні видання (газети та журнали) </t>
  </si>
  <si>
    <t>Обласна програма розвитку інформаційного простору на 2008-2010 роки</t>
  </si>
  <si>
    <t>006</t>
  </si>
  <si>
    <t>Обласна державна адміністрація</t>
  </si>
  <si>
    <t>120100</t>
  </si>
  <si>
    <t>Телебачення і радіомовлення </t>
  </si>
  <si>
    <t>120300</t>
  </si>
  <si>
    <t>Книговидання</t>
  </si>
  <si>
    <t>Програма розвитку книговидавничої справи, сприяння збільшенню випуску книжкової продукції місцевих авторів у Рівненській області на 2006-2010 роки</t>
  </si>
  <si>
    <t xml:space="preserve">Програми в галузі сільського господарства, лісового господарства, рибальства та мисливства </t>
  </si>
  <si>
    <t>Програма збереження та відтворення рибних запасів Рівненської області на 2010-2015 роки</t>
  </si>
  <si>
    <t>120000</t>
  </si>
  <si>
    <t>Засоби масової інформації</t>
  </si>
  <si>
    <t>090412</t>
  </si>
  <si>
    <t>Інші видатки на соціальний захист населення, з них</t>
  </si>
  <si>
    <t>- фінансова підтримка статутної діяльності організацій ветеранів</t>
  </si>
  <si>
    <t>Сільське і лісове господарство, рибне господарство та мисливство</t>
  </si>
  <si>
    <t>Код типової відомчої класифікації видатків</t>
  </si>
  <si>
    <t>Код типової класифікації видатків та кредитування місцевих бюджетів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</si>
  <si>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</si>
  <si>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</si>
  <si>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</si>
  <si>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внески у статутний фонд КП „Управління майновим комплексом” Рівненської обласної ради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</si>
</sst>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2"/>
      <color indexed="10"/>
      <name val="Times New Roman Cyr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left" vertical="center"/>
    </xf>
    <xf numFmtId="175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top" wrapText="1"/>
      <protection locked="0"/>
    </xf>
    <xf numFmtId="175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4" fillId="3" borderId="0" xfId="0" applyFont="1" applyFill="1" applyAlignment="1">
      <alignment/>
    </xf>
    <xf numFmtId="49" fontId="13" fillId="3" borderId="1" xfId="0" applyNumberFormat="1" applyFont="1" applyFill="1" applyBorder="1" applyAlignment="1">
      <alignment vertical="top" wrapText="1"/>
    </xf>
    <xf numFmtId="49" fontId="13" fillId="3" borderId="1" xfId="0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Alignment="1">
      <alignment/>
    </xf>
    <xf numFmtId="49" fontId="14" fillId="3" borderId="1" xfId="0" applyNumberFormat="1" applyFont="1" applyFill="1" applyBorder="1" applyAlignment="1" applyProtection="1">
      <alignment vertical="top" wrapText="1"/>
      <protection locked="0"/>
    </xf>
    <xf numFmtId="0" fontId="14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3" fontId="23" fillId="3" borderId="2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49" fontId="15" fillId="0" borderId="4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/>
    </xf>
    <xf numFmtId="49" fontId="14" fillId="3" borderId="4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Border="1" applyAlignment="1" applyProtection="1">
      <alignment vertical="top" wrapText="1"/>
      <protection locked="0"/>
    </xf>
    <xf numFmtId="0" fontId="15" fillId="0" borderId="1" xfId="19" applyNumberFormat="1" applyFont="1" applyBorder="1" applyAlignment="1">
      <alignment vertical="center" wrapText="1"/>
      <protection/>
    </xf>
    <xf numFmtId="49" fontId="28" fillId="3" borderId="11" xfId="0" applyNumberFormat="1" applyFont="1" applyFill="1" applyBorder="1" applyAlignment="1">
      <alignment horizontal="center" vertical="top" wrapText="1"/>
    </xf>
    <xf numFmtId="49" fontId="27" fillId="3" borderId="12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center" wrapText="1"/>
    </xf>
    <xf numFmtId="0" fontId="15" fillId="0" borderId="1" xfId="19" applyNumberFormat="1" applyFont="1" applyBorder="1" applyAlignment="1">
      <alignment vertical="center" wrapText="1" readingOrder="1"/>
      <protection/>
    </xf>
    <xf numFmtId="3" fontId="14" fillId="3" borderId="0" xfId="0" applyNumberFormat="1" applyFont="1" applyFill="1" applyAlignment="1">
      <alignment/>
    </xf>
    <xf numFmtId="0" fontId="27" fillId="0" borderId="1" xfId="0" applyNumberFormat="1" applyFont="1" applyFill="1" applyBorder="1" applyAlignment="1">
      <alignment vertical="top" wrapText="1"/>
    </xf>
    <xf numFmtId="3" fontId="8" fillId="4" borderId="9" xfId="0" applyNumberFormat="1" applyFont="1" applyFill="1" applyBorder="1" applyAlignment="1">
      <alignment horizontal="center" vertical="top" wrapText="1"/>
    </xf>
    <xf numFmtId="3" fontId="8" fillId="4" borderId="10" xfId="0" applyNumberFormat="1" applyFont="1" applyFill="1" applyBorder="1" applyAlignment="1">
      <alignment horizontal="center" vertical="top" wrapText="1"/>
    </xf>
    <xf numFmtId="3" fontId="8" fillId="4" borderId="9" xfId="0" applyNumberFormat="1" applyFont="1" applyFill="1" applyBorder="1" applyAlignment="1">
      <alignment horizontal="center" vertical="top"/>
    </xf>
    <xf numFmtId="3" fontId="12" fillId="4" borderId="9" xfId="0" applyNumberFormat="1" applyFont="1" applyFill="1" applyBorder="1" applyAlignment="1">
      <alignment horizontal="center" vertical="top"/>
    </xf>
    <xf numFmtId="3" fontId="8" fillId="0" borderId="9" xfId="0" applyNumberFormat="1" applyFont="1" applyFill="1" applyBorder="1" applyAlignment="1">
      <alignment horizontal="center" vertical="top"/>
    </xf>
    <xf numFmtId="3" fontId="32" fillId="0" borderId="9" xfId="0" applyNumberFormat="1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3" fontId="9" fillId="4" borderId="9" xfId="0" applyNumberFormat="1" applyFont="1" applyFill="1" applyBorder="1" applyAlignment="1">
      <alignment horizontal="center" vertical="top" wrapText="1"/>
    </xf>
    <xf numFmtId="3" fontId="33" fillId="3" borderId="13" xfId="0" applyNumberFormat="1" applyFont="1" applyFill="1" applyBorder="1" applyAlignment="1">
      <alignment horizontal="center" vertical="top" wrapText="1"/>
    </xf>
    <xf numFmtId="3" fontId="33" fillId="3" borderId="9" xfId="0" applyNumberFormat="1" applyFont="1" applyFill="1" applyBorder="1" applyAlignment="1">
      <alignment horizontal="center" vertical="top" wrapText="1"/>
    </xf>
    <xf numFmtId="3" fontId="33" fillId="3" borderId="10" xfId="0" applyNumberFormat="1" applyFont="1" applyFill="1" applyBorder="1" applyAlignment="1">
      <alignment horizontal="center" vertical="top" wrapText="1"/>
    </xf>
    <xf numFmtId="3" fontId="32" fillId="0" borderId="13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Fill="1" applyBorder="1" applyAlignment="1">
      <alignment horizontal="center" vertical="top" wrapText="1"/>
    </xf>
    <xf numFmtId="3" fontId="32" fillId="0" borderId="9" xfId="0" applyNumberFormat="1" applyFont="1" applyBorder="1" applyAlignment="1">
      <alignment horizontal="center" vertical="top" wrapText="1"/>
    </xf>
    <xf numFmtId="3" fontId="35" fillId="0" borderId="9" xfId="0" applyNumberFormat="1" applyFont="1" applyFill="1" applyBorder="1" applyAlignment="1">
      <alignment horizontal="center" vertical="top" wrapText="1"/>
    </xf>
    <xf numFmtId="3" fontId="35" fillId="5" borderId="9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Fill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3" fontId="34" fillId="0" borderId="9" xfId="0" applyNumberFormat="1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top" wrapText="1"/>
    </xf>
    <xf numFmtId="3" fontId="32" fillId="5" borderId="13" xfId="0" applyNumberFormat="1" applyFont="1" applyFill="1" applyBorder="1" applyAlignment="1">
      <alignment horizontal="center" vertical="top" wrapText="1"/>
    </xf>
    <xf numFmtId="3" fontId="32" fillId="5" borderId="13" xfId="0" applyNumberFormat="1" applyFont="1" applyFill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3" fontId="32" fillId="3" borderId="10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Border="1" applyAlignment="1">
      <alignment horizontal="center" vertical="top" wrapText="1"/>
    </xf>
    <xf numFmtId="3" fontId="32" fillId="0" borderId="13" xfId="0" applyNumberFormat="1" applyFont="1" applyFill="1" applyBorder="1" applyAlignment="1">
      <alignment horizontal="center" vertical="top" wrapText="1"/>
    </xf>
    <xf numFmtId="3" fontId="32" fillId="0" borderId="9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Border="1" applyAlignment="1">
      <alignment horizontal="center" vertical="top" wrapText="1"/>
    </xf>
    <xf numFmtId="3" fontId="34" fillId="0" borderId="9" xfId="0" applyNumberFormat="1" applyFont="1" applyFill="1" applyBorder="1" applyAlignment="1">
      <alignment horizontal="center" vertical="top"/>
    </xf>
    <xf numFmtId="3" fontId="32" fillId="3" borderId="13" xfId="0" applyNumberFormat="1" applyFont="1" applyFill="1" applyBorder="1" applyAlignment="1">
      <alignment horizontal="center" vertical="top" wrapText="1"/>
    </xf>
    <xf numFmtId="3" fontId="32" fillId="3" borderId="9" xfId="0" applyNumberFormat="1" applyFont="1" applyFill="1" applyBorder="1" applyAlignment="1">
      <alignment horizontal="center" vertical="top" wrapText="1"/>
    </xf>
    <xf numFmtId="3" fontId="32" fillId="0" borderId="9" xfId="0" applyNumberFormat="1" applyFont="1" applyFill="1" applyBorder="1" applyAlignment="1">
      <alignment horizontal="center" vertical="top" wrapText="1"/>
    </xf>
    <xf numFmtId="3" fontId="33" fillId="0" borderId="9" xfId="0" applyNumberFormat="1" applyFont="1" applyFill="1" applyBorder="1" applyAlignment="1">
      <alignment horizontal="center" vertical="top" wrapText="1"/>
    </xf>
    <xf numFmtId="3" fontId="34" fillId="0" borderId="13" xfId="0" applyNumberFormat="1" applyFont="1" applyFill="1" applyBorder="1" applyAlignment="1">
      <alignment horizontal="center" vertical="top" wrapText="1"/>
    </xf>
    <xf numFmtId="3" fontId="34" fillId="0" borderId="9" xfId="0" applyNumberFormat="1" applyFont="1" applyFill="1" applyBorder="1" applyAlignment="1">
      <alignment horizontal="center" vertical="top"/>
    </xf>
    <xf numFmtId="3" fontId="33" fillId="0" borderId="10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9" fontId="36" fillId="0" borderId="4" xfId="0" applyNumberFormat="1" applyFont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/>
    </xf>
    <xf numFmtId="3" fontId="12" fillId="0" borderId="9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center" wrapText="1"/>
    </xf>
    <xf numFmtId="3" fontId="23" fillId="3" borderId="15" xfId="0" applyNumberFormat="1" applyFont="1" applyFill="1" applyBorder="1" applyAlignment="1">
      <alignment horizontal="center" vertical="top" wrapText="1"/>
    </xf>
    <xf numFmtId="3" fontId="33" fillId="0" borderId="13" xfId="0" applyNumberFormat="1" applyFont="1" applyFill="1" applyBorder="1" applyAlignment="1">
      <alignment horizontal="center" vertical="top" wrapText="1"/>
    </xf>
    <xf numFmtId="3" fontId="12" fillId="5" borderId="0" xfId="0" applyNumberFormat="1" applyFont="1" applyFill="1" applyBorder="1" applyAlignment="1">
      <alignment/>
    </xf>
    <xf numFmtId="49" fontId="15" fillId="0" borderId="16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12" fillId="0" borderId="17" xfId="18" applyFont="1" applyFill="1" applyBorder="1" applyAlignment="1" applyProtection="1">
      <alignment horizontal="left" vertical="center" wrapText="1"/>
      <protection/>
    </xf>
    <xf numFmtId="0" fontId="12" fillId="0" borderId="0" xfId="18" applyFont="1" applyFill="1" applyBorder="1" applyAlignment="1" applyProtection="1">
      <alignment horizontal="left" vertical="center" wrapText="1"/>
      <protection/>
    </xf>
    <xf numFmtId="3" fontId="32" fillId="3" borderId="13" xfId="0" applyNumberFormat="1" applyFont="1" applyFill="1" applyBorder="1" applyAlignment="1">
      <alignment horizontal="center" vertical="top" wrapText="1"/>
    </xf>
    <xf numFmtId="3" fontId="34" fillId="3" borderId="9" xfId="0" applyNumberFormat="1" applyFont="1" applyFill="1" applyBorder="1" applyAlignment="1">
      <alignment horizontal="center" vertical="top"/>
    </xf>
    <xf numFmtId="3" fontId="32" fillId="3" borderId="9" xfId="0" applyNumberFormat="1" applyFont="1" applyFill="1" applyBorder="1" applyAlignment="1">
      <alignment horizontal="center" vertical="top" wrapText="1"/>
    </xf>
    <xf numFmtId="3" fontId="32" fillId="3" borderId="9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3" fontId="32" fillId="0" borderId="9" xfId="0" applyNumberFormat="1" applyFont="1" applyFill="1" applyBorder="1" applyAlignment="1">
      <alignment horizontal="center" vertical="top"/>
    </xf>
    <xf numFmtId="49" fontId="15" fillId="5" borderId="1" xfId="0" applyNumberFormat="1" applyFont="1" applyFill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27" fillId="0" borderId="1" xfId="0" applyNumberFormat="1" applyFont="1" applyBorder="1" applyAlignment="1" applyProtection="1">
      <alignment vertical="top" wrapText="1"/>
      <protection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Fill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27" fillId="0" borderId="1" xfId="0" applyNumberFormat="1" applyFont="1" applyFill="1" applyBorder="1" applyAlignment="1">
      <alignment vertical="top" wrapText="1"/>
    </xf>
    <xf numFmtId="49" fontId="27" fillId="0" borderId="1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4" fillId="3" borderId="11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3" fontId="23" fillId="3" borderId="18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49" fontId="28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3" fontId="32" fillId="0" borderId="19" xfId="0" applyNumberFormat="1" applyFont="1" applyFill="1" applyBorder="1" applyAlignment="1">
      <alignment horizontal="center" vertical="top" wrapText="1"/>
    </xf>
    <xf numFmtId="3" fontId="34" fillId="0" borderId="20" xfId="0" applyNumberFormat="1" applyFont="1" applyFill="1" applyBorder="1" applyAlignment="1">
      <alignment horizontal="center" vertical="top"/>
    </xf>
    <xf numFmtId="3" fontId="32" fillId="0" borderId="20" xfId="0" applyNumberFormat="1" applyFont="1" applyFill="1" applyBorder="1" applyAlignment="1">
      <alignment horizontal="center" vertical="top" wrapText="1"/>
    </xf>
    <xf numFmtId="3" fontId="32" fillId="0" borderId="21" xfId="0" applyNumberFormat="1" applyFont="1" applyFill="1" applyBorder="1" applyAlignment="1">
      <alignment horizontal="center" vertical="top" wrapText="1"/>
    </xf>
    <xf numFmtId="49" fontId="11" fillId="4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7" fillId="5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top" wrapText="1"/>
    </xf>
    <xf numFmtId="49" fontId="25" fillId="4" borderId="22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9" fillId="4" borderId="23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3" fontId="8" fillId="4" borderId="1" xfId="0" applyNumberFormat="1" applyFont="1" applyFill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horizontal="left" vertical="top" wrapText="1"/>
    </xf>
    <xf numFmtId="49" fontId="29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30" fillId="0" borderId="1" xfId="0" applyNumberFormat="1" applyFont="1" applyFill="1" applyBorder="1" applyAlignment="1">
      <alignment horizontal="left" vertical="top" wrapText="1"/>
    </xf>
    <xf numFmtId="0" fontId="22" fillId="0" borderId="1" xfId="19" applyNumberFormat="1" applyFont="1" applyFill="1" applyBorder="1" applyAlignment="1">
      <alignment horizontal="left" vertical="top" wrapText="1"/>
      <protection/>
    </xf>
    <xf numFmtId="0" fontId="22" fillId="0" borderId="1" xfId="19" applyNumberFormat="1" applyFont="1" applyBorder="1" applyAlignment="1">
      <alignment horizontal="left" vertical="top" wrapText="1"/>
      <protection/>
    </xf>
    <xf numFmtId="49" fontId="25" fillId="4" borderId="24" xfId="0" applyNumberFormat="1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1" fillId="0" borderId="0" xfId="0" applyFont="1" applyFill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 applyProtection="1">
      <alignment vertical="top" wrapText="1"/>
      <protection locked="0"/>
    </xf>
    <xf numFmtId="3" fontId="9" fillId="4" borderId="25" xfId="0" applyNumberFormat="1" applyFont="1" applyFill="1" applyBorder="1" applyAlignment="1">
      <alignment horizontal="center" vertical="top"/>
    </xf>
    <xf numFmtId="3" fontId="9" fillId="4" borderId="20" xfId="0" applyNumberFormat="1" applyFont="1" applyFill="1" applyBorder="1" applyAlignment="1">
      <alignment horizontal="center" vertical="top"/>
    </xf>
    <xf numFmtId="3" fontId="9" fillId="4" borderId="21" xfId="0" applyNumberFormat="1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vertical="top" wrapText="1"/>
      <protection locked="0"/>
    </xf>
    <xf numFmtId="1" fontId="8" fillId="4" borderId="1" xfId="0" applyNumberFormat="1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wrapText="1"/>
    </xf>
    <xf numFmtId="3" fontId="12" fillId="0" borderId="23" xfId="0" applyNumberFormat="1" applyFont="1" applyFill="1" applyBorder="1" applyAlignment="1">
      <alignment horizontal="center" vertical="top" wrapText="1"/>
    </xf>
    <xf numFmtId="3" fontId="8" fillId="4" borderId="23" xfId="0" applyNumberFormat="1" applyFont="1" applyFill="1" applyBorder="1" applyAlignment="1">
      <alignment horizontal="center" vertical="top" wrapText="1"/>
    </xf>
    <xf numFmtId="3" fontId="8" fillId="4" borderId="23" xfId="0" applyNumberFormat="1" applyFont="1" applyFill="1" applyBorder="1" applyAlignment="1">
      <alignment horizontal="center" vertical="top"/>
    </xf>
    <xf numFmtId="3" fontId="8" fillId="4" borderId="23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center" vertical="top"/>
    </xf>
    <xf numFmtId="3" fontId="12" fillId="0" borderId="23" xfId="0" applyNumberFormat="1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center" vertical="top"/>
    </xf>
    <xf numFmtId="3" fontId="9" fillId="4" borderId="23" xfId="0" applyNumberFormat="1" applyFont="1" applyFill="1" applyBorder="1" applyAlignment="1">
      <alignment horizontal="center" vertical="top" wrapText="1"/>
    </xf>
    <xf numFmtId="3" fontId="32" fillId="0" borderId="23" xfId="0" applyNumberFormat="1" applyFont="1" applyFill="1" applyBorder="1" applyAlignment="1">
      <alignment horizontal="center" vertical="top" wrapText="1"/>
    </xf>
    <xf numFmtId="3" fontId="8" fillId="4" borderId="13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8" fillId="4" borderId="10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 wrapText="1"/>
    </xf>
    <xf numFmtId="3" fontId="9" fillId="4" borderId="13" xfId="0" applyNumberFormat="1" applyFont="1" applyFill="1" applyBorder="1" applyAlignment="1">
      <alignment horizontal="center" vertical="top"/>
    </xf>
    <xf numFmtId="3" fontId="9" fillId="4" borderId="9" xfId="0" applyNumberFormat="1" applyFont="1" applyFill="1" applyBorder="1" applyAlignment="1">
      <alignment horizontal="center" vertical="top"/>
    </xf>
    <xf numFmtId="3" fontId="9" fillId="4" borderId="10" xfId="0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3" fontId="9" fillId="4" borderId="19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left" vertical="top" wrapText="1"/>
    </xf>
    <xf numFmtId="3" fontId="8" fillId="4" borderId="5" xfId="0" applyNumberFormat="1" applyFont="1" applyFill="1" applyBorder="1" applyAlignment="1">
      <alignment horizontal="center" vertical="top" wrapText="1"/>
    </xf>
    <xf numFmtId="3" fontId="8" fillId="4" borderId="6" xfId="0" applyNumberFormat="1" applyFont="1" applyFill="1" applyBorder="1" applyAlignment="1">
      <alignment horizontal="center" vertical="top" wrapText="1"/>
    </xf>
    <xf numFmtId="3" fontId="8" fillId="4" borderId="7" xfId="0" applyNumberFormat="1" applyFont="1" applyFill="1" applyBorder="1" applyAlignment="1">
      <alignment horizontal="center" vertical="top" wrapText="1"/>
    </xf>
    <xf numFmtId="3" fontId="8" fillId="4" borderId="30" xfId="0" applyNumberFormat="1" applyFont="1" applyFill="1" applyBorder="1" applyAlignment="1">
      <alignment horizontal="center" vertical="top" wrapText="1"/>
    </xf>
    <xf numFmtId="3" fontId="9" fillId="4" borderId="31" xfId="0" applyNumberFormat="1" applyFont="1" applyFill="1" applyBorder="1" applyAlignment="1">
      <alignment horizontal="center" vertical="top"/>
    </xf>
    <xf numFmtId="3" fontId="34" fillId="0" borderId="32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49" fontId="24" fillId="3" borderId="8" xfId="0" applyNumberFormat="1" applyFont="1" applyFill="1" applyBorder="1" applyAlignment="1" applyProtection="1">
      <alignment horizontal="center" vertical="top" wrapText="1"/>
      <protection locked="0"/>
    </xf>
    <xf numFmtId="49" fontId="23" fillId="3" borderId="8" xfId="15" applyNumberFormat="1" applyFont="1" applyFill="1" applyBorder="1" applyAlignment="1" applyProtection="1">
      <alignment vertical="top" wrapText="1"/>
      <protection locked="0"/>
    </xf>
    <xf numFmtId="49" fontId="27" fillId="0" borderId="26" xfId="0" applyNumberFormat="1" applyFont="1" applyFill="1" applyBorder="1" applyAlignment="1">
      <alignment vertical="top" wrapText="1"/>
    </xf>
    <xf numFmtId="3" fontId="34" fillId="0" borderId="33" xfId="0" applyNumberFormat="1" applyFont="1" applyFill="1" applyBorder="1" applyAlignment="1">
      <alignment horizontal="center" vertical="top" wrapText="1"/>
    </xf>
    <xf numFmtId="3" fontId="33" fillId="0" borderId="33" xfId="0" applyNumberFormat="1" applyFont="1" applyFill="1" applyBorder="1" applyAlignment="1">
      <alignment horizontal="center" vertical="top" wrapText="1"/>
    </xf>
    <xf numFmtId="3" fontId="33" fillId="0" borderId="34" xfId="0" applyNumberFormat="1" applyFont="1" applyFill="1" applyBorder="1" applyAlignment="1">
      <alignment horizontal="center" vertical="top" wrapText="1"/>
    </xf>
    <xf numFmtId="3" fontId="33" fillId="3" borderId="35" xfId="0" applyNumberFormat="1" applyFont="1" applyFill="1" applyBorder="1" applyAlignment="1">
      <alignment horizontal="center" vertical="top" wrapText="1"/>
    </xf>
    <xf numFmtId="49" fontId="11" fillId="3" borderId="8" xfId="0" applyNumberFormat="1" applyFont="1" applyFill="1" applyBorder="1" applyAlignment="1">
      <alignment vertical="top" wrapText="1"/>
    </xf>
    <xf numFmtId="3" fontId="23" fillId="3" borderId="8" xfId="0" applyNumberFormat="1" applyFont="1" applyFill="1" applyBorder="1" applyAlignment="1">
      <alignment horizontal="center" vertical="top" wrapText="1"/>
    </xf>
    <xf numFmtId="49" fontId="13" fillId="3" borderId="36" xfId="0" applyNumberFormat="1" applyFont="1" applyFill="1" applyBorder="1" applyAlignment="1">
      <alignment vertical="top" wrapText="1"/>
    </xf>
    <xf numFmtId="3" fontId="33" fillId="3" borderId="37" xfId="0" applyNumberFormat="1" applyFont="1" applyFill="1" applyBorder="1" applyAlignment="1">
      <alignment horizontal="center" vertical="top" wrapText="1"/>
    </xf>
    <xf numFmtId="3" fontId="33" fillId="3" borderId="38" xfId="0" applyNumberFormat="1" applyFont="1" applyFill="1" applyBorder="1" applyAlignment="1">
      <alignment horizontal="center" vertical="top" wrapText="1"/>
    </xf>
    <xf numFmtId="49" fontId="27" fillId="3" borderId="8" xfId="0" applyNumberFormat="1" applyFont="1" applyFill="1" applyBorder="1" applyAlignment="1">
      <alignment horizontal="center" vertical="top" wrapText="1"/>
    </xf>
    <xf numFmtId="3" fontId="33" fillId="3" borderId="8" xfId="0" applyNumberFormat="1" applyFont="1" applyFill="1" applyBorder="1" applyAlignment="1">
      <alignment horizontal="center" vertical="top" wrapText="1"/>
    </xf>
    <xf numFmtId="49" fontId="21" fillId="0" borderId="8" xfId="0" applyNumberFormat="1" applyFont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top" wrapText="1"/>
    </xf>
    <xf numFmtId="49" fontId="27" fillId="0" borderId="31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textRotation="255"/>
    </xf>
    <xf numFmtId="0" fontId="21" fillId="0" borderId="8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textRotation="255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0</xdr:row>
      <xdr:rowOff>66675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346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2010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81150" y="161925"/>
          <a:ext cx="9925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247775" y="714375"/>
          <a:ext cx="96583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Розподіл видатків обласного бюджету на 2010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81100" y="1619250"/>
          <a:ext cx="1205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C54">
            <v>1506229100</v>
          </cell>
          <cell r="D54">
            <v>129719600</v>
          </cell>
          <cell r="E54">
            <v>16922000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7"/>
  <sheetViews>
    <sheetView showZeros="0" tabSelected="1" view="pageBreakPreview"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9" sqref="C9"/>
    </sheetView>
  </sheetViews>
  <sheetFormatPr defaultColWidth="9.33203125" defaultRowHeight="12.75"/>
  <cols>
    <col min="1" max="1" width="13.33203125" style="20" customWidth="1"/>
    <col min="2" max="2" width="39.66015625" style="15" customWidth="1"/>
    <col min="3" max="3" width="20.66015625" style="2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6" customWidth="1"/>
    <col min="9" max="9" width="17.83203125" style="0" customWidth="1"/>
    <col min="10" max="10" width="14.6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2" customWidth="1"/>
    <col min="15" max="15" width="17.33203125" style="0" customWidth="1"/>
  </cols>
  <sheetData>
    <row r="1" spans="1:3" ht="12.75">
      <c r="A1" s="44"/>
      <c r="B1" s="43"/>
      <c r="C1" s="45"/>
    </row>
    <row r="2" spans="1:14" ht="105" customHeight="1" thickBot="1">
      <c r="A2" s="17"/>
      <c r="B2" s="43"/>
      <c r="N2" s="16" t="s">
        <v>183</v>
      </c>
    </row>
    <row r="3" spans="1:14" ht="60" customHeight="1" thickBot="1">
      <c r="A3" s="66" t="s">
        <v>328</v>
      </c>
      <c r="B3" s="253" t="s">
        <v>102</v>
      </c>
      <c r="C3" s="257" t="s">
        <v>90</v>
      </c>
      <c r="D3" s="257"/>
      <c r="E3" s="257"/>
      <c r="F3" s="257"/>
      <c r="G3" s="257"/>
      <c r="H3" s="258" t="s">
        <v>92</v>
      </c>
      <c r="I3" s="259"/>
      <c r="J3" s="259"/>
      <c r="K3" s="259"/>
      <c r="L3" s="259"/>
      <c r="M3" s="260"/>
      <c r="N3" s="268" t="s">
        <v>84</v>
      </c>
    </row>
    <row r="4" spans="1:14" ht="23.25" customHeight="1" thickBot="1">
      <c r="A4" s="266" t="s">
        <v>329</v>
      </c>
      <c r="B4" s="263" t="s">
        <v>332</v>
      </c>
      <c r="C4" s="271" t="s">
        <v>91</v>
      </c>
      <c r="D4" s="265" t="s">
        <v>201</v>
      </c>
      <c r="E4" s="271" t="s">
        <v>97</v>
      </c>
      <c r="F4" s="271"/>
      <c r="G4" s="265" t="s">
        <v>204</v>
      </c>
      <c r="H4" s="271" t="s">
        <v>91</v>
      </c>
      <c r="I4" s="265" t="s">
        <v>201</v>
      </c>
      <c r="J4" s="271" t="s">
        <v>97</v>
      </c>
      <c r="K4" s="271"/>
      <c r="L4" s="265" t="s">
        <v>204</v>
      </c>
      <c r="M4" s="261" t="s">
        <v>205</v>
      </c>
      <c r="N4" s="269"/>
    </row>
    <row r="5" spans="1:14" ht="57" customHeight="1" thickBot="1">
      <c r="A5" s="267"/>
      <c r="B5" s="264"/>
      <c r="C5" s="271"/>
      <c r="D5" s="265"/>
      <c r="E5" s="118" t="s">
        <v>202</v>
      </c>
      <c r="F5" s="118" t="s">
        <v>203</v>
      </c>
      <c r="G5" s="265"/>
      <c r="H5" s="271"/>
      <c r="I5" s="265"/>
      <c r="J5" s="118" t="s">
        <v>202</v>
      </c>
      <c r="K5" s="118" t="s">
        <v>203</v>
      </c>
      <c r="L5" s="265"/>
      <c r="M5" s="262"/>
      <c r="N5" s="270"/>
    </row>
    <row r="6" spans="1:14" ht="25.5" customHeight="1">
      <c r="A6" s="124">
        <v>1</v>
      </c>
      <c r="B6" s="56">
        <v>2</v>
      </c>
      <c r="C6" s="61">
        <v>3</v>
      </c>
      <c r="D6" s="62">
        <v>4</v>
      </c>
      <c r="E6" s="62">
        <v>5</v>
      </c>
      <c r="F6" s="62">
        <v>6</v>
      </c>
      <c r="G6" s="62">
        <v>7</v>
      </c>
      <c r="H6" s="63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64" t="s">
        <v>207</v>
      </c>
    </row>
    <row r="7" spans="1:15" s="47" customFormat="1" ht="24.75" customHeight="1">
      <c r="A7" s="72" t="s">
        <v>146</v>
      </c>
      <c r="B7" s="48" t="s">
        <v>101</v>
      </c>
      <c r="C7" s="89">
        <f>D7+G7</f>
        <v>4058400</v>
      </c>
      <c r="D7" s="90">
        <f>D8+D12+D9+D13</f>
        <v>4058400</v>
      </c>
      <c r="E7" s="90">
        <f>E8+E12+E9+E13</f>
        <v>2040000</v>
      </c>
      <c r="F7" s="90">
        <f>F8+F12+F9+F13</f>
        <v>758000</v>
      </c>
      <c r="G7" s="90">
        <f>G8+G12+G9+G13</f>
        <v>0</v>
      </c>
      <c r="H7" s="90">
        <f aca="true" t="shared" si="0" ref="H7:M7">H8+H12</f>
        <v>250000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250000</v>
      </c>
      <c r="M7" s="90">
        <f t="shared" si="0"/>
        <v>250000</v>
      </c>
      <c r="N7" s="91">
        <f aca="true" t="shared" si="1" ref="N7:N86">SUM(H7,C7)</f>
        <v>4308400</v>
      </c>
      <c r="O7" s="79">
        <f>C7+H7</f>
        <v>4308400</v>
      </c>
    </row>
    <row r="8" spans="1:15" s="9" customFormat="1" ht="23.25" customHeight="1">
      <c r="A8" s="60" t="s">
        <v>47</v>
      </c>
      <c r="B8" s="67" t="s">
        <v>48</v>
      </c>
      <c r="C8" s="92">
        <f aca="true" t="shared" si="2" ref="C8:C24">D8+G8</f>
        <v>3933400</v>
      </c>
      <c r="D8" s="93">
        <v>3933400</v>
      </c>
      <c r="E8" s="93">
        <v>2040000</v>
      </c>
      <c r="F8" s="93">
        <v>758000</v>
      </c>
      <c r="G8" s="93"/>
      <c r="H8" s="86">
        <f>I8+L8</f>
        <v>0</v>
      </c>
      <c r="I8" s="93"/>
      <c r="J8" s="93"/>
      <c r="K8" s="93"/>
      <c r="L8" s="93"/>
      <c r="M8" s="93"/>
      <c r="N8" s="87">
        <f t="shared" si="1"/>
        <v>3933400</v>
      </c>
      <c r="O8" s="79">
        <f aca="true" t="shared" si="3" ref="O8:O71">C8+H8</f>
        <v>3933400</v>
      </c>
    </row>
    <row r="9" spans="1:15" s="9" customFormat="1" ht="31.5">
      <c r="A9" s="148" t="s">
        <v>310</v>
      </c>
      <c r="B9" s="186" t="s">
        <v>311</v>
      </c>
      <c r="C9" s="92">
        <f t="shared" si="2"/>
        <v>25000</v>
      </c>
      <c r="D9" s="93">
        <f>D10</f>
        <v>25000</v>
      </c>
      <c r="E9" s="93"/>
      <c r="F9" s="93"/>
      <c r="G9" s="93"/>
      <c r="H9" s="86"/>
      <c r="I9" s="93"/>
      <c r="J9" s="93"/>
      <c r="K9" s="93"/>
      <c r="L9" s="93"/>
      <c r="M9" s="93"/>
      <c r="N9" s="87">
        <f t="shared" si="1"/>
        <v>25000</v>
      </c>
      <c r="O9" s="79">
        <f t="shared" si="3"/>
        <v>25000</v>
      </c>
    </row>
    <row r="10" spans="1:15" s="9" customFormat="1" ht="48" customHeight="1">
      <c r="A10" s="148" t="s">
        <v>225</v>
      </c>
      <c r="B10" s="186" t="s">
        <v>312</v>
      </c>
      <c r="C10" s="92">
        <f t="shared" si="2"/>
        <v>25000</v>
      </c>
      <c r="D10" s="93">
        <v>25000</v>
      </c>
      <c r="E10" s="93"/>
      <c r="F10" s="93"/>
      <c r="G10" s="93"/>
      <c r="H10" s="86"/>
      <c r="I10" s="93"/>
      <c r="J10" s="93"/>
      <c r="K10" s="93"/>
      <c r="L10" s="93"/>
      <c r="M10" s="93"/>
      <c r="N10" s="87">
        <f t="shared" si="1"/>
        <v>25000</v>
      </c>
      <c r="O10" s="79">
        <f t="shared" si="3"/>
        <v>25000</v>
      </c>
    </row>
    <row r="11" spans="1:15" s="9" customFormat="1" ht="84" customHeight="1">
      <c r="A11" s="148" t="s">
        <v>288</v>
      </c>
      <c r="B11" s="139" t="s">
        <v>289</v>
      </c>
      <c r="C11" s="92">
        <f t="shared" si="2"/>
        <v>0</v>
      </c>
      <c r="D11" s="93">
        <f>D12</f>
        <v>0</v>
      </c>
      <c r="E11" s="93">
        <f aca="true" t="shared" si="4" ref="E11:M11">E12</f>
        <v>0</v>
      </c>
      <c r="F11" s="93">
        <f t="shared" si="4"/>
        <v>0</v>
      </c>
      <c r="G11" s="93">
        <f t="shared" si="4"/>
        <v>0</v>
      </c>
      <c r="H11" s="86">
        <f>I11+L11</f>
        <v>250000</v>
      </c>
      <c r="I11" s="93">
        <f t="shared" si="4"/>
        <v>0</v>
      </c>
      <c r="J11" s="93">
        <f t="shared" si="4"/>
        <v>0</v>
      </c>
      <c r="K11" s="93">
        <f t="shared" si="4"/>
        <v>0</v>
      </c>
      <c r="L11" s="93">
        <f t="shared" si="4"/>
        <v>250000</v>
      </c>
      <c r="M11" s="93">
        <f t="shared" si="4"/>
        <v>250000</v>
      </c>
      <c r="N11" s="87">
        <f t="shared" si="1"/>
        <v>250000</v>
      </c>
      <c r="O11" s="79">
        <f t="shared" si="3"/>
        <v>250000</v>
      </c>
    </row>
    <row r="12" spans="1:15" s="9" customFormat="1" ht="63">
      <c r="A12" s="60" t="s">
        <v>225</v>
      </c>
      <c r="B12" s="139" t="s">
        <v>333</v>
      </c>
      <c r="C12" s="92">
        <f t="shared" si="2"/>
        <v>0</v>
      </c>
      <c r="D12" s="93"/>
      <c r="E12" s="93"/>
      <c r="F12" s="93"/>
      <c r="G12" s="93"/>
      <c r="H12" s="86">
        <f>I12+L12</f>
        <v>250000</v>
      </c>
      <c r="I12" s="93"/>
      <c r="J12" s="93"/>
      <c r="K12" s="93"/>
      <c r="L12" s="93">
        <v>250000</v>
      </c>
      <c r="M12" s="93">
        <v>250000</v>
      </c>
      <c r="N12" s="87">
        <f t="shared" si="1"/>
        <v>250000</v>
      </c>
      <c r="O12" s="79">
        <f t="shared" si="3"/>
        <v>250000</v>
      </c>
    </row>
    <row r="13" spans="1:15" s="9" customFormat="1" ht="16.5">
      <c r="A13" s="60" t="s">
        <v>49</v>
      </c>
      <c r="B13" s="138" t="s">
        <v>308</v>
      </c>
      <c r="C13" s="92">
        <f t="shared" si="2"/>
        <v>100000</v>
      </c>
      <c r="D13" s="93">
        <f>D14</f>
        <v>100000</v>
      </c>
      <c r="E13" s="93"/>
      <c r="F13" s="93"/>
      <c r="G13" s="93"/>
      <c r="H13" s="86"/>
      <c r="I13" s="93"/>
      <c r="J13" s="93"/>
      <c r="K13" s="93"/>
      <c r="L13" s="93"/>
      <c r="M13" s="93"/>
      <c r="N13" s="87">
        <f t="shared" si="1"/>
        <v>100000</v>
      </c>
      <c r="O13" s="79">
        <f t="shared" si="3"/>
        <v>100000</v>
      </c>
    </row>
    <row r="14" spans="1:15" s="9" customFormat="1" ht="48.75" customHeight="1">
      <c r="A14" s="60" t="s">
        <v>225</v>
      </c>
      <c r="B14" s="138" t="s">
        <v>309</v>
      </c>
      <c r="C14" s="92">
        <f t="shared" si="2"/>
        <v>100000</v>
      </c>
      <c r="D14" s="93">
        <v>100000</v>
      </c>
      <c r="E14" s="93"/>
      <c r="F14" s="93"/>
      <c r="G14" s="93"/>
      <c r="H14" s="86"/>
      <c r="I14" s="93"/>
      <c r="J14" s="93"/>
      <c r="K14" s="93"/>
      <c r="L14" s="93"/>
      <c r="M14" s="93"/>
      <c r="N14" s="87">
        <f t="shared" si="1"/>
        <v>100000</v>
      </c>
      <c r="O14" s="79">
        <f t="shared" si="3"/>
        <v>100000</v>
      </c>
    </row>
    <row r="15" spans="1:15" s="9" customFormat="1" ht="31.5">
      <c r="A15" s="149" t="s">
        <v>313</v>
      </c>
      <c r="B15" s="187" t="s">
        <v>314</v>
      </c>
      <c r="C15" s="132">
        <f t="shared" si="2"/>
        <v>25000</v>
      </c>
      <c r="D15" s="134">
        <f>D16+D18</f>
        <v>25000</v>
      </c>
      <c r="E15" s="134">
        <f aca="true" t="shared" si="5" ref="E15:M15">E16+E18</f>
        <v>0</v>
      </c>
      <c r="F15" s="134">
        <f t="shared" si="5"/>
        <v>0</v>
      </c>
      <c r="G15" s="134">
        <f t="shared" si="5"/>
        <v>0</v>
      </c>
      <c r="H15" s="134">
        <f t="shared" si="5"/>
        <v>0</v>
      </c>
      <c r="I15" s="134">
        <f t="shared" si="5"/>
        <v>0</v>
      </c>
      <c r="J15" s="134">
        <f t="shared" si="5"/>
        <v>0</v>
      </c>
      <c r="K15" s="134">
        <f t="shared" si="5"/>
        <v>0</v>
      </c>
      <c r="L15" s="134">
        <f t="shared" si="5"/>
        <v>0</v>
      </c>
      <c r="M15" s="134">
        <f t="shared" si="5"/>
        <v>0</v>
      </c>
      <c r="N15" s="91">
        <f>C15+H15</f>
        <v>25000</v>
      </c>
      <c r="O15" s="79">
        <f t="shared" si="3"/>
        <v>25000</v>
      </c>
    </row>
    <row r="16" spans="1:15" s="9" customFormat="1" ht="16.5">
      <c r="A16" s="148" t="s">
        <v>315</v>
      </c>
      <c r="B16" s="188" t="s">
        <v>316</v>
      </c>
      <c r="C16" s="92">
        <f t="shared" si="2"/>
        <v>10000</v>
      </c>
      <c r="D16" s="93">
        <f>D17</f>
        <v>10000</v>
      </c>
      <c r="E16" s="93">
        <f aca="true" t="shared" si="6" ref="E16:M16">E17</f>
        <v>0</v>
      </c>
      <c r="F16" s="93">
        <f t="shared" si="6"/>
        <v>0</v>
      </c>
      <c r="G16" s="93">
        <f t="shared" si="6"/>
        <v>0</v>
      </c>
      <c r="H16" s="93">
        <f t="shared" si="6"/>
        <v>0</v>
      </c>
      <c r="I16" s="93">
        <f t="shared" si="6"/>
        <v>0</v>
      </c>
      <c r="J16" s="93">
        <f t="shared" si="6"/>
        <v>0</v>
      </c>
      <c r="K16" s="93">
        <f t="shared" si="6"/>
        <v>0</v>
      </c>
      <c r="L16" s="93">
        <f t="shared" si="6"/>
        <v>0</v>
      </c>
      <c r="M16" s="93">
        <f t="shared" si="6"/>
        <v>0</v>
      </c>
      <c r="N16" s="87">
        <f t="shared" si="1"/>
        <v>10000</v>
      </c>
      <c r="O16" s="79">
        <f t="shared" si="3"/>
        <v>10000</v>
      </c>
    </row>
    <row r="17" spans="1:15" s="9" customFormat="1" ht="47.25">
      <c r="A17" s="148" t="s">
        <v>225</v>
      </c>
      <c r="B17" s="186" t="s">
        <v>312</v>
      </c>
      <c r="C17" s="92">
        <f t="shared" si="2"/>
        <v>10000</v>
      </c>
      <c r="D17" s="93">
        <v>10000</v>
      </c>
      <c r="E17" s="93"/>
      <c r="F17" s="93"/>
      <c r="G17" s="93"/>
      <c r="H17" s="86"/>
      <c r="I17" s="93"/>
      <c r="J17" s="93"/>
      <c r="K17" s="93"/>
      <c r="L17" s="93"/>
      <c r="M17" s="93"/>
      <c r="N17" s="87">
        <f t="shared" si="1"/>
        <v>10000</v>
      </c>
      <c r="O17" s="79">
        <f t="shared" si="3"/>
        <v>10000</v>
      </c>
    </row>
    <row r="18" spans="1:15" s="9" customFormat="1" ht="31.5">
      <c r="A18" s="148" t="s">
        <v>310</v>
      </c>
      <c r="B18" s="139" t="s">
        <v>311</v>
      </c>
      <c r="C18" s="92">
        <f t="shared" si="2"/>
        <v>15000</v>
      </c>
      <c r="D18" s="93">
        <f>D19</f>
        <v>15000</v>
      </c>
      <c r="E18" s="93">
        <f>E19</f>
        <v>0</v>
      </c>
      <c r="F18" s="93">
        <f aca="true" t="shared" si="7" ref="F18:M18">F19</f>
        <v>0</v>
      </c>
      <c r="G18" s="93">
        <f t="shared" si="7"/>
        <v>0</v>
      </c>
      <c r="H18" s="93">
        <f t="shared" si="7"/>
        <v>0</v>
      </c>
      <c r="I18" s="93">
        <f t="shared" si="7"/>
        <v>0</v>
      </c>
      <c r="J18" s="93">
        <f t="shared" si="7"/>
        <v>0</v>
      </c>
      <c r="K18" s="93">
        <f t="shared" si="7"/>
        <v>0</v>
      </c>
      <c r="L18" s="93">
        <f t="shared" si="7"/>
        <v>0</v>
      </c>
      <c r="M18" s="93">
        <f t="shared" si="7"/>
        <v>0</v>
      </c>
      <c r="N18" s="87">
        <f t="shared" si="1"/>
        <v>15000</v>
      </c>
      <c r="O18" s="79">
        <f t="shared" si="3"/>
        <v>15000</v>
      </c>
    </row>
    <row r="19" spans="1:15" s="9" customFormat="1" ht="47.25">
      <c r="A19" s="148" t="s">
        <v>225</v>
      </c>
      <c r="B19" s="186" t="s">
        <v>312</v>
      </c>
      <c r="C19" s="92">
        <f t="shared" si="2"/>
        <v>15000</v>
      </c>
      <c r="D19" s="93">
        <v>15000</v>
      </c>
      <c r="E19" s="93"/>
      <c r="F19" s="93"/>
      <c r="G19" s="93"/>
      <c r="H19" s="86"/>
      <c r="I19" s="93"/>
      <c r="J19" s="93"/>
      <c r="K19" s="93"/>
      <c r="L19" s="93"/>
      <c r="M19" s="93"/>
      <c r="N19" s="87">
        <f t="shared" si="1"/>
        <v>15000</v>
      </c>
      <c r="O19" s="79">
        <f t="shared" si="3"/>
        <v>15000</v>
      </c>
    </row>
    <row r="20" spans="1:15" s="50" customFormat="1" ht="51" customHeight="1">
      <c r="A20" s="72" t="s">
        <v>172</v>
      </c>
      <c r="B20" s="49" t="s">
        <v>211</v>
      </c>
      <c r="C20" s="89">
        <f t="shared" si="2"/>
        <v>259400</v>
      </c>
      <c r="D20" s="90">
        <f>D23+D21</f>
        <v>259400</v>
      </c>
      <c r="E20" s="90">
        <f aca="true" t="shared" si="8" ref="E20:M20">E23+E21</f>
        <v>86200</v>
      </c>
      <c r="F20" s="90">
        <f t="shared" si="8"/>
        <v>11400</v>
      </c>
      <c r="G20" s="90">
        <f t="shared" si="8"/>
        <v>0</v>
      </c>
      <c r="H20" s="90">
        <f t="shared" si="8"/>
        <v>0</v>
      </c>
      <c r="I20" s="90">
        <f t="shared" si="8"/>
        <v>0</v>
      </c>
      <c r="J20" s="90">
        <f t="shared" si="8"/>
        <v>0</v>
      </c>
      <c r="K20" s="90">
        <f t="shared" si="8"/>
        <v>0</v>
      </c>
      <c r="L20" s="90">
        <f t="shared" si="8"/>
        <v>0</v>
      </c>
      <c r="M20" s="90">
        <f t="shared" si="8"/>
        <v>0</v>
      </c>
      <c r="N20" s="91">
        <f>I20+C20</f>
        <v>259400</v>
      </c>
      <c r="O20" s="79">
        <f t="shared" si="3"/>
        <v>259400</v>
      </c>
    </row>
    <row r="21" spans="1:15" s="50" customFormat="1" ht="18" customHeight="1">
      <c r="A21" s="196" t="s">
        <v>317</v>
      </c>
      <c r="B21" s="153" t="s">
        <v>318</v>
      </c>
      <c r="C21" s="254">
        <f t="shared" si="2"/>
        <v>100000</v>
      </c>
      <c r="D21" s="95">
        <f>D22</f>
        <v>100000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87">
        <f t="shared" si="1"/>
        <v>100000</v>
      </c>
      <c r="O21" s="79">
        <f t="shared" si="3"/>
        <v>100000</v>
      </c>
    </row>
    <row r="22" spans="1:15" s="50" customFormat="1" ht="97.5" customHeight="1">
      <c r="A22" s="163" t="s">
        <v>225</v>
      </c>
      <c r="B22" s="197" t="s">
        <v>319</v>
      </c>
      <c r="C22" s="254">
        <f t="shared" si="2"/>
        <v>100000</v>
      </c>
      <c r="D22" s="95">
        <v>100000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87">
        <f t="shared" si="1"/>
        <v>100000</v>
      </c>
      <c r="O22" s="79">
        <f t="shared" si="3"/>
        <v>100000</v>
      </c>
    </row>
    <row r="23" spans="1:15" ht="64.5" customHeight="1">
      <c r="A23" s="60" t="s">
        <v>49</v>
      </c>
      <c r="B23" s="138" t="s">
        <v>268</v>
      </c>
      <c r="C23" s="254">
        <f t="shared" si="2"/>
        <v>159400</v>
      </c>
      <c r="D23" s="96">
        <v>159400</v>
      </c>
      <c r="E23" s="97">
        <v>86200</v>
      </c>
      <c r="F23" s="97">
        <v>11400</v>
      </c>
      <c r="G23" s="97"/>
      <c r="H23" s="94"/>
      <c r="I23" s="95">
        <f>J23+L23</f>
        <v>0</v>
      </c>
      <c r="J23" s="97"/>
      <c r="K23" s="97"/>
      <c r="L23" s="97"/>
      <c r="M23" s="97"/>
      <c r="N23" s="87">
        <f t="shared" si="1"/>
        <v>159400</v>
      </c>
      <c r="O23" s="79">
        <f t="shared" si="3"/>
        <v>159400</v>
      </c>
    </row>
    <row r="24" spans="1:15" s="47" customFormat="1" ht="31.5">
      <c r="A24" s="72" t="s">
        <v>147</v>
      </c>
      <c r="B24" s="51" t="s">
        <v>238</v>
      </c>
      <c r="C24" s="89">
        <f t="shared" si="2"/>
        <v>143798800</v>
      </c>
      <c r="D24" s="90">
        <f>D25+D26+D27+D28+D29+D30+D31+D32+D40+D41+D42+D43+D52+D53</f>
        <v>122374384</v>
      </c>
      <c r="E24" s="90">
        <f aca="true" t="shared" si="9" ref="E24:M24">E25+E26+E27+E28+E29+E30+E31+E32+E40+E41+E42+E43+E52+E53</f>
        <v>62458454</v>
      </c>
      <c r="F24" s="90">
        <f t="shared" si="9"/>
        <v>9212081</v>
      </c>
      <c r="G24" s="90">
        <f t="shared" si="9"/>
        <v>21424416</v>
      </c>
      <c r="H24" s="90">
        <f t="shared" si="9"/>
        <v>541000</v>
      </c>
      <c r="I24" s="90">
        <f t="shared" si="9"/>
        <v>541000</v>
      </c>
      <c r="J24" s="90">
        <f t="shared" si="9"/>
        <v>75800</v>
      </c>
      <c r="K24" s="90">
        <f t="shared" si="9"/>
        <v>32250</v>
      </c>
      <c r="L24" s="90">
        <f t="shared" si="9"/>
        <v>0</v>
      </c>
      <c r="M24" s="90">
        <f t="shared" si="9"/>
        <v>0</v>
      </c>
      <c r="N24" s="91">
        <f>SUM(H24,C24)</f>
        <v>144339800</v>
      </c>
      <c r="O24" s="79">
        <f t="shared" si="3"/>
        <v>144339800</v>
      </c>
    </row>
    <row r="25" spans="1:15" ht="47.25">
      <c r="A25" s="60" t="s">
        <v>66</v>
      </c>
      <c r="B25" s="139" t="s">
        <v>67</v>
      </c>
      <c r="C25" s="98">
        <f aca="true" t="shared" si="10" ref="C25:C44">SUM(D25,G25)</f>
        <v>22147165</v>
      </c>
      <c r="D25" s="99">
        <v>17650200</v>
      </c>
      <c r="E25" s="99">
        <v>8567022</v>
      </c>
      <c r="F25" s="99">
        <v>1519881</v>
      </c>
      <c r="G25" s="99">
        <v>4496965</v>
      </c>
      <c r="H25" s="94">
        <f aca="true" t="shared" si="11" ref="H25:H53">SUM(I25,L25)</f>
        <v>139500</v>
      </c>
      <c r="I25" s="99">
        <v>139500</v>
      </c>
      <c r="J25" s="99"/>
      <c r="K25" s="99">
        <v>22000</v>
      </c>
      <c r="L25" s="99"/>
      <c r="M25" s="99"/>
      <c r="N25" s="100">
        <f>SUM(H25,C25)</f>
        <v>22286665</v>
      </c>
      <c r="O25" s="79">
        <f t="shared" si="3"/>
        <v>22286665</v>
      </c>
    </row>
    <row r="26" spans="1:15" ht="68.25" customHeight="1">
      <c r="A26" s="60" t="s">
        <v>68</v>
      </c>
      <c r="B26" s="139" t="s">
        <v>69</v>
      </c>
      <c r="C26" s="98">
        <f t="shared" si="10"/>
        <v>5782465</v>
      </c>
      <c r="D26" s="99">
        <v>5672465</v>
      </c>
      <c r="E26" s="99">
        <v>2398331</v>
      </c>
      <c r="F26" s="99">
        <v>874297</v>
      </c>
      <c r="G26" s="99">
        <v>110000</v>
      </c>
      <c r="H26" s="94">
        <f t="shared" si="11"/>
        <v>0</v>
      </c>
      <c r="I26" s="99"/>
      <c r="J26" s="99"/>
      <c r="K26" s="99"/>
      <c r="L26" s="99"/>
      <c r="M26" s="99"/>
      <c r="N26" s="100">
        <f t="shared" si="1"/>
        <v>5782465</v>
      </c>
      <c r="O26" s="79">
        <f t="shared" si="3"/>
        <v>5782465</v>
      </c>
    </row>
    <row r="27" spans="1:15" ht="31.5">
      <c r="A27" s="60" t="s">
        <v>70</v>
      </c>
      <c r="B27" s="140" t="s">
        <v>133</v>
      </c>
      <c r="C27" s="98">
        <f t="shared" si="10"/>
        <v>4769087</v>
      </c>
      <c r="D27" s="99">
        <v>4592587</v>
      </c>
      <c r="E27" s="99">
        <v>2352478</v>
      </c>
      <c r="F27" s="99">
        <v>466550</v>
      </c>
      <c r="G27" s="99">
        <v>176500</v>
      </c>
      <c r="H27" s="94">
        <f t="shared" si="11"/>
        <v>600</v>
      </c>
      <c r="I27" s="99">
        <v>600</v>
      </c>
      <c r="J27" s="99"/>
      <c r="K27" s="99"/>
      <c r="L27" s="99"/>
      <c r="M27" s="99"/>
      <c r="N27" s="100">
        <f t="shared" si="1"/>
        <v>4769687</v>
      </c>
      <c r="O27" s="79">
        <f t="shared" si="3"/>
        <v>4769687</v>
      </c>
    </row>
    <row r="28" spans="1:15" ht="79.5" customHeight="1">
      <c r="A28" s="60" t="s">
        <v>71</v>
      </c>
      <c r="B28" s="139" t="s">
        <v>212</v>
      </c>
      <c r="C28" s="98">
        <f t="shared" si="10"/>
        <v>69144434</v>
      </c>
      <c r="D28" s="99">
        <v>59545726</v>
      </c>
      <c r="E28" s="99">
        <v>32706226</v>
      </c>
      <c r="F28" s="99">
        <v>3593290</v>
      </c>
      <c r="G28" s="99">
        <v>9598708</v>
      </c>
      <c r="H28" s="94">
        <f t="shared" si="11"/>
        <v>83600</v>
      </c>
      <c r="I28" s="99">
        <v>83600</v>
      </c>
      <c r="J28" s="99">
        <v>5000</v>
      </c>
      <c r="K28" s="99">
        <v>1600</v>
      </c>
      <c r="L28" s="99"/>
      <c r="M28" s="99"/>
      <c r="N28" s="100">
        <f t="shared" si="1"/>
        <v>69228034</v>
      </c>
      <c r="O28" s="79">
        <f t="shared" si="3"/>
        <v>69228034</v>
      </c>
    </row>
    <row r="29" spans="1:15" ht="126" customHeight="1">
      <c r="A29" s="60" t="s">
        <v>120</v>
      </c>
      <c r="B29" s="139" t="s">
        <v>131</v>
      </c>
      <c r="C29" s="98">
        <f t="shared" si="10"/>
        <v>13560768</v>
      </c>
      <c r="D29" s="99">
        <v>12369018</v>
      </c>
      <c r="E29" s="99">
        <v>4839875</v>
      </c>
      <c r="F29" s="99">
        <v>1243105</v>
      </c>
      <c r="G29" s="99">
        <v>1191750</v>
      </c>
      <c r="H29" s="94">
        <f t="shared" si="11"/>
        <v>3300</v>
      </c>
      <c r="I29" s="99">
        <v>3300</v>
      </c>
      <c r="J29" s="99"/>
      <c r="K29" s="99"/>
      <c r="L29" s="99"/>
      <c r="M29" s="99"/>
      <c r="N29" s="100">
        <f t="shared" si="1"/>
        <v>13564068</v>
      </c>
      <c r="O29" s="79">
        <f t="shared" si="3"/>
        <v>13564068</v>
      </c>
    </row>
    <row r="30" spans="1:15" ht="47.25">
      <c r="A30" s="60" t="s">
        <v>73</v>
      </c>
      <c r="B30" s="139" t="s">
        <v>74</v>
      </c>
      <c r="C30" s="98">
        <f t="shared" si="10"/>
        <v>6345818</v>
      </c>
      <c r="D30" s="99">
        <v>5713818</v>
      </c>
      <c r="E30" s="99">
        <v>3327404</v>
      </c>
      <c r="F30" s="99">
        <v>295039</v>
      </c>
      <c r="G30" s="99">
        <v>632000</v>
      </c>
      <c r="H30" s="94">
        <f t="shared" si="11"/>
        <v>17000</v>
      </c>
      <c r="I30" s="99">
        <v>17000</v>
      </c>
      <c r="J30" s="99"/>
      <c r="K30" s="99">
        <v>200</v>
      </c>
      <c r="L30" s="99"/>
      <c r="M30" s="99"/>
      <c r="N30" s="100">
        <f t="shared" si="1"/>
        <v>6362818</v>
      </c>
      <c r="O30" s="79">
        <f t="shared" si="3"/>
        <v>6362818</v>
      </c>
    </row>
    <row r="31" spans="1:15" ht="31.5">
      <c r="A31" s="60" t="s">
        <v>75</v>
      </c>
      <c r="B31" s="139" t="s">
        <v>134</v>
      </c>
      <c r="C31" s="98">
        <f t="shared" si="10"/>
        <v>10915533</v>
      </c>
      <c r="D31" s="99">
        <v>10068333</v>
      </c>
      <c r="E31" s="99">
        <v>6089090</v>
      </c>
      <c r="F31" s="99">
        <v>924740</v>
      </c>
      <c r="G31" s="99">
        <v>847200</v>
      </c>
      <c r="H31" s="94">
        <f t="shared" si="11"/>
        <v>297000</v>
      </c>
      <c r="I31" s="99">
        <v>297000</v>
      </c>
      <c r="J31" s="99">
        <v>70800</v>
      </c>
      <c r="K31" s="99">
        <v>8450</v>
      </c>
      <c r="L31" s="99"/>
      <c r="M31" s="99"/>
      <c r="N31" s="100">
        <f t="shared" si="1"/>
        <v>11212533</v>
      </c>
      <c r="O31" s="79">
        <f t="shared" si="3"/>
        <v>11212533</v>
      </c>
    </row>
    <row r="32" spans="1:15" ht="31.5">
      <c r="A32" s="60" t="s">
        <v>40</v>
      </c>
      <c r="B32" s="139" t="s">
        <v>180</v>
      </c>
      <c r="C32" s="98">
        <f t="shared" si="10"/>
        <v>485602</v>
      </c>
      <c r="D32" s="99">
        <f>D33+D34+D35+D36+D37+D38+D39</f>
        <v>485602</v>
      </c>
      <c r="E32" s="99">
        <f>E33+E34+E35+E36+E37+E38+E39</f>
        <v>74200</v>
      </c>
      <c r="F32" s="99">
        <f>F33+F34+F35+F36+F37+F38+F39</f>
        <v>0</v>
      </c>
      <c r="G32" s="99">
        <f>G33+G34+G35+G36+G37+G38+G39</f>
        <v>0</v>
      </c>
      <c r="H32" s="94">
        <f>H33+H34+H35+H36+H37+H38+H39</f>
        <v>0</v>
      </c>
      <c r="I32" s="99"/>
      <c r="J32" s="99"/>
      <c r="K32" s="99"/>
      <c r="L32" s="99"/>
      <c r="M32" s="99"/>
      <c r="N32" s="100">
        <f t="shared" si="1"/>
        <v>485602</v>
      </c>
      <c r="O32" s="79">
        <f t="shared" si="3"/>
        <v>485602</v>
      </c>
    </row>
    <row r="33" spans="1:15" ht="16.5">
      <c r="A33" s="60"/>
      <c r="B33" s="139" t="s">
        <v>191</v>
      </c>
      <c r="C33" s="98">
        <f t="shared" si="10"/>
        <v>43960</v>
      </c>
      <c r="D33" s="99">
        <v>43960</v>
      </c>
      <c r="E33" s="99"/>
      <c r="F33" s="99"/>
      <c r="G33" s="99"/>
      <c r="H33" s="94"/>
      <c r="I33" s="99"/>
      <c r="J33" s="99"/>
      <c r="K33" s="99"/>
      <c r="L33" s="99"/>
      <c r="M33" s="99"/>
      <c r="N33" s="100">
        <f t="shared" si="1"/>
        <v>43960</v>
      </c>
      <c r="O33" s="79">
        <f t="shared" si="3"/>
        <v>43960</v>
      </c>
    </row>
    <row r="34" spans="1:15" ht="31.5">
      <c r="A34" s="60"/>
      <c r="B34" s="139" t="s">
        <v>305</v>
      </c>
      <c r="C34" s="98">
        <f t="shared" si="10"/>
        <v>10000</v>
      </c>
      <c r="D34" s="99">
        <v>10000</v>
      </c>
      <c r="E34" s="99"/>
      <c r="F34" s="99"/>
      <c r="G34" s="99"/>
      <c r="H34" s="94">
        <f t="shared" si="11"/>
        <v>0</v>
      </c>
      <c r="I34" s="99"/>
      <c r="J34" s="99"/>
      <c r="K34" s="99"/>
      <c r="L34" s="99"/>
      <c r="M34" s="99"/>
      <c r="N34" s="100">
        <f t="shared" si="1"/>
        <v>10000</v>
      </c>
      <c r="O34" s="79">
        <f t="shared" si="3"/>
        <v>10000</v>
      </c>
    </row>
    <row r="35" spans="1:15" ht="31.5">
      <c r="A35" s="60"/>
      <c r="B35" s="139" t="s">
        <v>0</v>
      </c>
      <c r="C35" s="98">
        <f t="shared" si="10"/>
        <v>40000</v>
      </c>
      <c r="D35" s="99">
        <v>40000</v>
      </c>
      <c r="E35" s="99"/>
      <c r="F35" s="99"/>
      <c r="G35" s="99"/>
      <c r="H35" s="94">
        <f t="shared" si="11"/>
        <v>0</v>
      </c>
      <c r="I35" s="99"/>
      <c r="J35" s="99"/>
      <c r="K35" s="99"/>
      <c r="L35" s="99"/>
      <c r="M35" s="99"/>
      <c r="N35" s="100">
        <f t="shared" si="1"/>
        <v>40000</v>
      </c>
      <c r="O35" s="79">
        <f t="shared" si="3"/>
        <v>40000</v>
      </c>
    </row>
    <row r="36" spans="1:15" ht="78.75">
      <c r="A36" s="60"/>
      <c r="B36" s="139" t="s">
        <v>264</v>
      </c>
      <c r="C36" s="98">
        <f t="shared" si="10"/>
        <v>43500</v>
      </c>
      <c r="D36" s="99">
        <v>43500</v>
      </c>
      <c r="E36" s="99"/>
      <c r="F36" s="99"/>
      <c r="G36" s="99"/>
      <c r="H36" s="94">
        <f t="shared" si="11"/>
        <v>0</v>
      </c>
      <c r="I36" s="99"/>
      <c r="J36" s="99"/>
      <c r="K36" s="99"/>
      <c r="L36" s="99"/>
      <c r="M36" s="99"/>
      <c r="N36" s="100">
        <f t="shared" si="1"/>
        <v>43500</v>
      </c>
      <c r="O36" s="79">
        <f t="shared" si="3"/>
        <v>43500</v>
      </c>
    </row>
    <row r="37" spans="1:15" ht="37.5" customHeight="1">
      <c r="A37" s="60"/>
      <c r="B37" s="139" t="s">
        <v>213</v>
      </c>
      <c r="C37" s="98">
        <f t="shared" si="10"/>
        <v>258457</v>
      </c>
      <c r="D37" s="99">
        <v>258457</v>
      </c>
      <c r="E37" s="99">
        <v>74200</v>
      </c>
      <c r="F37" s="99"/>
      <c r="G37" s="99"/>
      <c r="H37" s="94">
        <f t="shared" si="11"/>
        <v>0</v>
      </c>
      <c r="I37" s="99"/>
      <c r="J37" s="99"/>
      <c r="K37" s="99"/>
      <c r="L37" s="99"/>
      <c r="M37" s="99"/>
      <c r="N37" s="100">
        <f t="shared" si="1"/>
        <v>258457</v>
      </c>
      <c r="O37" s="79">
        <f t="shared" si="3"/>
        <v>258457</v>
      </c>
    </row>
    <row r="38" spans="1:15" ht="31.5">
      <c r="A38" s="60"/>
      <c r="B38" s="139" t="s">
        <v>196</v>
      </c>
      <c r="C38" s="98">
        <f t="shared" si="10"/>
        <v>19985</v>
      </c>
      <c r="D38" s="99">
        <v>19985</v>
      </c>
      <c r="E38" s="99"/>
      <c r="F38" s="99"/>
      <c r="G38" s="99"/>
      <c r="H38" s="94">
        <f t="shared" si="11"/>
        <v>0</v>
      </c>
      <c r="I38" s="99"/>
      <c r="J38" s="99"/>
      <c r="K38" s="99"/>
      <c r="L38" s="99"/>
      <c r="M38" s="99"/>
      <c r="N38" s="100">
        <f t="shared" si="1"/>
        <v>19985</v>
      </c>
      <c r="O38" s="79">
        <f t="shared" si="3"/>
        <v>19985</v>
      </c>
    </row>
    <row r="39" spans="1:15" ht="32.25" customHeight="1">
      <c r="A39" s="60"/>
      <c r="B39" s="139" t="s">
        <v>195</v>
      </c>
      <c r="C39" s="98">
        <f t="shared" si="10"/>
        <v>69700</v>
      </c>
      <c r="D39" s="99">
        <v>69700</v>
      </c>
      <c r="E39" s="99"/>
      <c r="F39" s="99"/>
      <c r="G39" s="99"/>
      <c r="H39" s="94">
        <f t="shared" si="11"/>
        <v>0</v>
      </c>
      <c r="I39" s="99"/>
      <c r="J39" s="99"/>
      <c r="K39" s="99"/>
      <c r="L39" s="99"/>
      <c r="M39" s="99"/>
      <c r="N39" s="100">
        <f t="shared" si="1"/>
        <v>69700</v>
      </c>
      <c r="O39" s="79">
        <f t="shared" si="3"/>
        <v>69700</v>
      </c>
    </row>
    <row r="40" spans="1:15" ht="16.5">
      <c r="A40" s="60" t="s">
        <v>76</v>
      </c>
      <c r="B40" s="139" t="s">
        <v>65</v>
      </c>
      <c r="C40" s="98">
        <f t="shared" si="10"/>
        <v>803583</v>
      </c>
      <c r="D40" s="99">
        <v>763583</v>
      </c>
      <c r="E40" s="99">
        <v>388000</v>
      </c>
      <c r="F40" s="99">
        <v>92200</v>
      </c>
      <c r="G40" s="99">
        <v>40000</v>
      </c>
      <c r="H40" s="94">
        <f t="shared" si="11"/>
        <v>0</v>
      </c>
      <c r="I40" s="99"/>
      <c r="J40" s="99"/>
      <c r="K40" s="99"/>
      <c r="L40" s="99"/>
      <c r="M40" s="99"/>
      <c r="N40" s="100">
        <f t="shared" si="1"/>
        <v>803583</v>
      </c>
      <c r="O40" s="79">
        <f t="shared" si="3"/>
        <v>803583</v>
      </c>
    </row>
    <row r="41" spans="1:15" ht="31.5">
      <c r="A41" s="60" t="s">
        <v>77</v>
      </c>
      <c r="B41" s="139" t="s">
        <v>78</v>
      </c>
      <c r="C41" s="98">
        <f t="shared" si="10"/>
        <v>672847</v>
      </c>
      <c r="D41" s="99">
        <v>642847</v>
      </c>
      <c r="E41" s="99">
        <v>275000</v>
      </c>
      <c r="F41" s="99">
        <v>111000</v>
      </c>
      <c r="G41" s="99">
        <v>30000</v>
      </c>
      <c r="H41" s="94">
        <f t="shared" si="11"/>
        <v>0</v>
      </c>
      <c r="I41" s="99"/>
      <c r="J41" s="99"/>
      <c r="K41" s="99"/>
      <c r="L41" s="99"/>
      <c r="M41" s="99"/>
      <c r="N41" s="100">
        <f t="shared" si="1"/>
        <v>672847</v>
      </c>
      <c r="O41" s="79">
        <f t="shared" si="3"/>
        <v>672847</v>
      </c>
    </row>
    <row r="42" spans="1:15" ht="30.75" customHeight="1">
      <c r="A42" s="60" t="s">
        <v>79</v>
      </c>
      <c r="B42" s="139" t="s">
        <v>306</v>
      </c>
      <c r="C42" s="98">
        <f t="shared" si="10"/>
        <v>320759</v>
      </c>
      <c r="D42" s="99">
        <v>310759</v>
      </c>
      <c r="E42" s="99">
        <v>199572</v>
      </c>
      <c r="F42" s="99">
        <v>7159</v>
      </c>
      <c r="G42" s="99">
        <v>10000</v>
      </c>
      <c r="H42" s="94">
        <f t="shared" si="11"/>
        <v>0</v>
      </c>
      <c r="I42" s="99"/>
      <c r="J42" s="99"/>
      <c r="K42" s="99"/>
      <c r="L42" s="99"/>
      <c r="M42" s="99"/>
      <c r="N42" s="100">
        <f t="shared" si="1"/>
        <v>320759</v>
      </c>
      <c r="O42" s="79">
        <f t="shared" si="3"/>
        <v>320759</v>
      </c>
    </row>
    <row r="43" spans="1:15" ht="16.5">
      <c r="A43" s="60" t="s">
        <v>121</v>
      </c>
      <c r="B43" s="139" t="s">
        <v>181</v>
      </c>
      <c r="C43" s="98">
        <f t="shared" si="10"/>
        <v>5315123</v>
      </c>
      <c r="D43" s="99">
        <f>D44+D45+D46+D47+D48+D49+D50+D51</f>
        <v>1767629</v>
      </c>
      <c r="E43" s="99">
        <f aca="true" t="shared" si="12" ref="E43:M43">E44+E45+E46+E47+E48+E49+E50+E51</f>
        <v>21256</v>
      </c>
      <c r="F43" s="99">
        <f t="shared" si="12"/>
        <v>0</v>
      </c>
      <c r="G43" s="99">
        <f t="shared" si="12"/>
        <v>3547494</v>
      </c>
      <c r="H43" s="94">
        <f t="shared" si="12"/>
        <v>0</v>
      </c>
      <c r="I43" s="99">
        <f t="shared" si="12"/>
        <v>0</v>
      </c>
      <c r="J43" s="99">
        <f t="shared" si="12"/>
        <v>0</v>
      </c>
      <c r="K43" s="99">
        <f t="shared" si="12"/>
        <v>0</v>
      </c>
      <c r="L43" s="99">
        <f t="shared" si="12"/>
        <v>0</v>
      </c>
      <c r="M43" s="99">
        <f t="shared" si="12"/>
        <v>0</v>
      </c>
      <c r="N43" s="100">
        <f t="shared" si="1"/>
        <v>5315123</v>
      </c>
      <c r="O43" s="79">
        <f t="shared" si="3"/>
        <v>5315123</v>
      </c>
    </row>
    <row r="44" spans="1:15" ht="16.5">
      <c r="A44" s="60"/>
      <c r="B44" s="139" t="s">
        <v>126</v>
      </c>
      <c r="C44" s="98">
        <f t="shared" si="10"/>
        <v>28000</v>
      </c>
      <c r="D44" s="99">
        <v>28000</v>
      </c>
      <c r="E44" s="99"/>
      <c r="F44" s="99"/>
      <c r="G44" s="99"/>
      <c r="H44" s="94">
        <f t="shared" si="11"/>
        <v>0</v>
      </c>
      <c r="I44" s="99"/>
      <c r="J44" s="99"/>
      <c r="K44" s="99"/>
      <c r="L44" s="99"/>
      <c r="M44" s="99"/>
      <c r="N44" s="100">
        <f t="shared" si="1"/>
        <v>28000</v>
      </c>
      <c r="O44" s="79">
        <f t="shared" si="3"/>
        <v>28000</v>
      </c>
    </row>
    <row r="45" spans="1:15" ht="110.25">
      <c r="A45" s="60"/>
      <c r="B45" s="139" t="s">
        <v>214</v>
      </c>
      <c r="C45" s="101">
        <f aca="true" t="shared" si="13" ref="C45:C53">D45+G45</f>
        <v>3334300</v>
      </c>
      <c r="D45" s="99">
        <v>115000</v>
      </c>
      <c r="E45" s="99">
        <v>10975</v>
      </c>
      <c r="F45" s="99"/>
      <c r="G45" s="99">
        <f>3149300+70000</f>
        <v>3219300</v>
      </c>
      <c r="H45" s="94"/>
      <c r="I45" s="99"/>
      <c r="J45" s="99"/>
      <c r="K45" s="99"/>
      <c r="L45" s="99"/>
      <c r="M45" s="99"/>
      <c r="N45" s="100">
        <f t="shared" si="1"/>
        <v>3334300</v>
      </c>
      <c r="O45" s="79">
        <f t="shared" si="3"/>
        <v>3334300</v>
      </c>
    </row>
    <row r="46" spans="1:15" ht="31.5">
      <c r="A46" s="60"/>
      <c r="B46" s="139" t="s">
        <v>215</v>
      </c>
      <c r="C46" s="101">
        <f t="shared" si="13"/>
        <v>1254028</v>
      </c>
      <c r="D46" s="99">
        <v>925834</v>
      </c>
      <c r="E46" s="99">
        <v>2481</v>
      </c>
      <c r="F46" s="99"/>
      <c r="G46" s="99">
        <v>328194</v>
      </c>
      <c r="H46" s="94"/>
      <c r="I46" s="99"/>
      <c r="J46" s="99"/>
      <c r="K46" s="99"/>
      <c r="L46" s="99"/>
      <c r="M46" s="99"/>
      <c r="N46" s="100">
        <f t="shared" si="1"/>
        <v>1254028</v>
      </c>
      <c r="O46" s="79">
        <f t="shared" si="3"/>
        <v>1254028</v>
      </c>
    </row>
    <row r="47" spans="1:15" ht="96" customHeight="1">
      <c r="A47" s="60"/>
      <c r="B47" s="139" t="s">
        <v>216</v>
      </c>
      <c r="C47" s="101">
        <f t="shared" si="13"/>
        <v>10000</v>
      </c>
      <c r="D47" s="99">
        <v>10000</v>
      </c>
      <c r="E47" s="99"/>
      <c r="F47" s="99"/>
      <c r="G47" s="99"/>
      <c r="H47" s="94"/>
      <c r="I47" s="99"/>
      <c r="J47" s="99"/>
      <c r="K47" s="99"/>
      <c r="L47" s="99"/>
      <c r="M47" s="99"/>
      <c r="N47" s="100">
        <f t="shared" si="1"/>
        <v>10000</v>
      </c>
      <c r="O47" s="79">
        <f t="shared" si="3"/>
        <v>10000</v>
      </c>
    </row>
    <row r="48" spans="1:15" ht="47.25">
      <c r="A48" s="60"/>
      <c r="B48" s="139" t="s">
        <v>242</v>
      </c>
      <c r="C48" s="101">
        <f t="shared" si="13"/>
        <v>168500</v>
      </c>
      <c r="D48" s="99">
        <v>168500</v>
      </c>
      <c r="E48" s="99"/>
      <c r="F48" s="99"/>
      <c r="G48" s="99"/>
      <c r="H48" s="94"/>
      <c r="I48" s="99"/>
      <c r="J48" s="99"/>
      <c r="K48" s="99"/>
      <c r="L48" s="99"/>
      <c r="M48" s="99"/>
      <c r="N48" s="100">
        <f t="shared" si="1"/>
        <v>168500</v>
      </c>
      <c r="O48" s="79">
        <f t="shared" si="3"/>
        <v>168500</v>
      </c>
    </row>
    <row r="49" spans="1:15" ht="66" customHeight="1">
      <c r="A49" s="60"/>
      <c r="B49" s="139" t="s">
        <v>217</v>
      </c>
      <c r="C49" s="101">
        <f t="shared" si="13"/>
        <v>390295</v>
      </c>
      <c r="D49" s="99">
        <v>390295</v>
      </c>
      <c r="E49" s="99">
        <v>7800</v>
      </c>
      <c r="F49" s="99"/>
      <c r="G49" s="99"/>
      <c r="H49" s="94"/>
      <c r="I49" s="99"/>
      <c r="J49" s="99"/>
      <c r="K49" s="99"/>
      <c r="L49" s="99"/>
      <c r="M49" s="99"/>
      <c r="N49" s="100">
        <f t="shared" si="1"/>
        <v>390295</v>
      </c>
      <c r="O49" s="79">
        <f t="shared" si="3"/>
        <v>390295</v>
      </c>
    </row>
    <row r="50" spans="1:15" ht="47.25">
      <c r="A50" s="60"/>
      <c r="B50" s="139" t="s">
        <v>290</v>
      </c>
      <c r="C50" s="101">
        <f t="shared" si="13"/>
        <v>20000</v>
      </c>
      <c r="D50" s="99">
        <v>20000</v>
      </c>
      <c r="E50" s="99"/>
      <c r="F50" s="99"/>
      <c r="G50" s="99"/>
      <c r="H50" s="94"/>
      <c r="I50" s="99"/>
      <c r="J50" s="99"/>
      <c r="K50" s="99"/>
      <c r="L50" s="99"/>
      <c r="M50" s="99"/>
      <c r="N50" s="100">
        <f t="shared" si="1"/>
        <v>20000</v>
      </c>
      <c r="O50" s="79">
        <f t="shared" si="3"/>
        <v>20000</v>
      </c>
    </row>
    <row r="51" spans="1:15" ht="31.5">
      <c r="A51" s="60"/>
      <c r="B51" s="67" t="s">
        <v>291</v>
      </c>
      <c r="C51" s="101">
        <f t="shared" si="13"/>
        <v>110000</v>
      </c>
      <c r="D51" s="99">
        <v>110000</v>
      </c>
      <c r="E51" s="99"/>
      <c r="F51" s="99"/>
      <c r="G51" s="99"/>
      <c r="H51" s="94"/>
      <c r="I51" s="99"/>
      <c r="J51" s="99"/>
      <c r="K51" s="99"/>
      <c r="L51" s="99"/>
      <c r="M51" s="99"/>
      <c r="N51" s="100">
        <f t="shared" si="1"/>
        <v>110000</v>
      </c>
      <c r="O51" s="79">
        <f t="shared" si="3"/>
        <v>110000</v>
      </c>
    </row>
    <row r="52" spans="1:15" ht="31.5">
      <c r="A52" s="60" t="s">
        <v>41</v>
      </c>
      <c r="B52" s="67" t="s">
        <v>112</v>
      </c>
      <c r="C52" s="102">
        <f t="shared" si="13"/>
        <v>592350</v>
      </c>
      <c r="D52" s="93">
        <v>592350</v>
      </c>
      <c r="E52" s="93"/>
      <c r="F52" s="93"/>
      <c r="G52" s="93"/>
      <c r="H52" s="86"/>
      <c r="I52" s="86"/>
      <c r="J52" s="86"/>
      <c r="K52" s="86"/>
      <c r="L52" s="86"/>
      <c r="M52" s="86"/>
      <c r="N52" s="87">
        <f t="shared" si="1"/>
        <v>592350</v>
      </c>
      <c r="O52" s="79">
        <f t="shared" si="3"/>
        <v>592350</v>
      </c>
    </row>
    <row r="53" spans="1:15" ht="47.25">
      <c r="A53" s="60" t="s">
        <v>44</v>
      </c>
      <c r="B53" s="139" t="s">
        <v>85</v>
      </c>
      <c r="C53" s="103">
        <f t="shared" si="13"/>
        <v>2943266</v>
      </c>
      <c r="D53" s="99">
        <v>2199467</v>
      </c>
      <c r="E53" s="99">
        <v>1220000</v>
      </c>
      <c r="F53" s="99">
        <v>84820</v>
      </c>
      <c r="G53" s="99">
        <v>743799</v>
      </c>
      <c r="H53" s="94">
        <f t="shared" si="11"/>
        <v>0</v>
      </c>
      <c r="I53" s="99"/>
      <c r="J53" s="99"/>
      <c r="K53" s="99"/>
      <c r="L53" s="99"/>
      <c r="M53" s="99"/>
      <c r="N53" s="100">
        <f t="shared" si="1"/>
        <v>2943266</v>
      </c>
      <c r="O53" s="79">
        <f t="shared" si="3"/>
        <v>2943266</v>
      </c>
    </row>
    <row r="54" spans="1:15" s="47" customFormat="1" ht="31.5">
      <c r="A54" s="72" t="s">
        <v>148</v>
      </c>
      <c r="B54" s="51" t="s">
        <v>239</v>
      </c>
      <c r="C54" s="89">
        <f aca="true" t="shared" si="14" ref="C54:C63">SUM(D54,G54)</f>
        <v>307783400</v>
      </c>
      <c r="D54" s="90">
        <f aca="true" t="shared" si="15" ref="D54:M54">D55+D56+D57+D58+D59+D61+D60+D62+D63+D64+D65+D66+D67+D68+D77+D78+D79+D80+D81</f>
        <v>300928457</v>
      </c>
      <c r="E54" s="90">
        <f t="shared" si="15"/>
        <v>150737800</v>
      </c>
      <c r="F54" s="90">
        <f t="shared" si="15"/>
        <v>22193100</v>
      </c>
      <c r="G54" s="90">
        <f t="shared" si="15"/>
        <v>6854943</v>
      </c>
      <c r="H54" s="90">
        <f t="shared" si="15"/>
        <v>8892000</v>
      </c>
      <c r="I54" s="90">
        <f t="shared" si="15"/>
        <v>8522000</v>
      </c>
      <c r="J54" s="90">
        <f t="shared" si="15"/>
        <v>1057500</v>
      </c>
      <c r="K54" s="90">
        <f t="shared" si="15"/>
        <v>385000</v>
      </c>
      <c r="L54" s="90">
        <f t="shared" si="15"/>
        <v>370000</v>
      </c>
      <c r="M54" s="90">
        <f t="shared" si="15"/>
        <v>0</v>
      </c>
      <c r="N54" s="104">
        <f t="shared" si="1"/>
        <v>316675400</v>
      </c>
      <c r="O54" s="79">
        <f t="shared" si="3"/>
        <v>316675400</v>
      </c>
    </row>
    <row r="55" spans="1:19" s="47" customFormat="1" ht="31.5">
      <c r="A55" s="60" t="s">
        <v>39</v>
      </c>
      <c r="B55" s="141" t="s">
        <v>259</v>
      </c>
      <c r="C55" s="98">
        <f>SUM(D55,G55)</f>
        <v>34105000</v>
      </c>
      <c r="D55" s="95">
        <v>28440700</v>
      </c>
      <c r="E55" s="95"/>
      <c r="F55" s="95"/>
      <c r="G55" s="95">
        <v>5664300</v>
      </c>
      <c r="H55" s="114">
        <f>I55+L55</f>
        <v>5197200</v>
      </c>
      <c r="I55" s="95">
        <v>5197200</v>
      </c>
      <c r="J55" s="95"/>
      <c r="K55" s="95"/>
      <c r="L55" s="95"/>
      <c r="M55" s="114"/>
      <c r="N55" s="100">
        <f t="shared" si="1"/>
        <v>39302200</v>
      </c>
      <c r="O55" s="79">
        <f t="shared" si="3"/>
        <v>39302200</v>
      </c>
      <c r="P55" s="120"/>
      <c r="Q55" s="120"/>
      <c r="R55" s="120"/>
      <c r="S55" s="120"/>
    </row>
    <row r="56" spans="1:19" s="47" customFormat="1" ht="31.5">
      <c r="A56" s="60" t="s">
        <v>75</v>
      </c>
      <c r="B56" s="141" t="s">
        <v>134</v>
      </c>
      <c r="C56" s="98">
        <f t="shared" si="14"/>
        <v>442500</v>
      </c>
      <c r="D56" s="95">
        <v>442500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00">
        <f t="shared" si="1"/>
        <v>442500</v>
      </c>
      <c r="O56" s="79">
        <f t="shared" si="3"/>
        <v>442500</v>
      </c>
      <c r="P56" s="120"/>
      <c r="Q56" s="120"/>
      <c r="R56" s="120"/>
      <c r="S56" s="120"/>
    </row>
    <row r="57" spans="1:19" s="47" customFormat="1" ht="63">
      <c r="A57" s="60" t="s">
        <v>28</v>
      </c>
      <c r="B57" s="141" t="s">
        <v>139</v>
      </c>
      <c r="C57" s="98">
        <f t="shared" si="14"/>
        <v>503700</v>
      </c>
      <c r="D57" s="95">
        <v>503700</v>
      </c>
      <c r="E57" s="95">
        <v>337500</v>
      </c>
      <c r="F57" s="95">
        <v>20000</v>
      </c>
      <c r="G57" s="114"/>
      <c r="H57" s="114"/>
      <c r="I57" s="114"/>
      <c r="J57" s="114"/>
      <c r="K57" s="114"/>
      <c r="L57" s="114"/>
      <c r="M57" s="114"/>
      <c r="N57" s="100">
        <f t="shared" si="1"/>
        <v>503700</v>
      </c>
      <c r="O57" s="79">
        <f t="shared" si="3"/>
        <v>503700</v>
      </c>
      <c r="P57" s="120"/>
      <c r="Q57" s="120"/>
      <c r="R57" s="120"/>
      <c r="S57" s="120"/>
    </row>
    <row r="58" spans="1:15" ht="16.5">
      <c r="A58" s="60" t="s">
        <v>51</v>
      </c>
      <c r="B58" s="142" t="s">
        <v>99</v>
      </c>
      <c r="C58" s="98">
        <f t="shared" si="14"/>
        <v>88577639</v>
      </c>
      <c r="D58" s="105">
        <v>88445296</v>
      </c>
      <c r="E58" s="105">
        <v>48887000</v>
      </c>
      <c r="F58" s="105">
        <v>7546800</v>
      </c>
      <c r="G58" s="105">
        <v>132343</v>
      </c>
      <c r="H58" s="94">
        <f>SUM(I58,L58)</f>
        <v>269000</v>
      </c>
      <c r="I58" s="105">
        <v>269000</v>
      </c>
      <c r="J58" s="105">
        <v>37500</v>
      </c>
      <c r="K58" s="105">
        <v>100000</v>
      </c>
      <c r="L58" s="105"/>
      <c r="M58" s="86"/>
      <c r="N58" s="100">
        <f t="shared" si="1"/>
        <v>88846639</v>
      </c>
      <c r="O58" s="79">
        <f t="shared" si="3"/>
        <v>88846639</v>
      </c>
    </row>
    <row r="59" spans="1:15" ht="31.5">
      <c r="A59" s="60" t="s">
        <v>52</v>
      </c>
      <c r="B59" s="141" t="s">
        <v>86</v>
      </c>
      <c r="C59" s="98">
        <f t="shared" si="14"/>
        <v>133008671</v>
      </c>
      <c r="D59" s="105">
        <v>132404571</v>
      </c>
      <c r="E59" s="105">
        <v>76030000</v>
      </c>
      <c r="F59" s="105">
        <v>11930500</v>
      </c>
      <c r="G59" s="105">
        <v>604100</v>
      </c>
      <c r="H59" s="94">
        <f>SUM(I59,L59)</f>
        <v>1625800</v>
      </c>
      <c r="I59" s="105">
        <v>1385800</v>
      </c>
      <c r="J59" s="105">
        <v>220000</v>
      </c>
      <c r="K59" s="105">
        <v>125000</v>
      </c>
      <c r="L59" s="105">
        <v>240000</v>
      </c>
      <c r="M59" s="86"/>
      <c r="N59" s="100">
        <f t="shared" si="1"/>
        <v>134634471</v>
      </c>
      <c r="O59" s="79">
        <f t="shared" si="3"/>
        <v>134634471</v>
      </c>
    </row>
    <row r="60" spans="1:15" ht="31.5">
      <c r="A60" s="60" t="s">
        <v>163</v>
      </c>
      <c r="B60" s="141" t="s">
        <v>164</v>
      </c>
      <c r="C60" s="98">
        <f>SUM(D60,G60)</f>
        <v>8723446</v>
      </c>
      <c r="D60" s="99">
        <v>8723446</v>
      </c>
      <c r="E60" s="99">
        <v>5175000</v>
      </c>
      <c r="F60" s="99">
        <v>745300</v>
      </c>
      <c r="G60" s="99"/>
      <c r="H60" s="94"/>
      <c r="I60" s="99"/>
      <c r="J60" s="99"/>
      <c r="K60" s="99"/>
      <c r="L60" s="99"/>
      <c r="M60" s="99"/>
      <c r="N60" s="100">
        <f t="shared" si="1"/>
        <v>8723446</v>
      </c>
      <c r="O60" s="79">
        <f t="shared" si="3"/>
        <v>8723446</v>
      </c>
    </row>
    <row r="61" spans="1:15" ht="31.5">
      <c r="A61" s="60" t="s">
        <v>53</v>
      </c>
      <c r="B61" s="141" t="s">
        <v>9</v>
      </c>
      <c r="C61" s="98">
        <f>SUM(D61,G61)</f>
        <v>1393000</v>
      </c>
      <c r="D61" s="99">
        <v>1393000</v>
      </c>
      <c r="E61" s="99">
        <v>830000</v>
      </c>
      <c r="F61" s="99">
        <v>120000</v>
      </c>
      <c r="G61" s="99"/>
      <c r="H61" s="94">
        <f>SUM(I61,L61)</f>
        <v>0</v>
      </c>
      <c r="I61" s="99"/>
      <c r="J61" s="99"/>
      <c r="K61" s="99"/>
      <c r="L61" s="99"/>
      <c r="M61" s="99"/>
      <c r="N61" s="100">
        <f t="shared" si="1"/>
        <v>1393000</v>
      </c>
      <c r="O61" s="79">
        <f t="shared" si="3"/>
        <v>1393000</v>
      </c>
    </row>
    <row r="62" spans="1:15" ht="16.5">
      <c r="A62" s="60" t="s">
        <v>54</v>
      </c>
      <c r="B62" s="141" t="s">
        <v>81</v>
      </c>
      <c r="C62" s="98">
        <f t="shared" si="14"/>
        <v>8300000</v>
      </c>
      <c r="D62" s="99">
        <v>8300000</v>
      </c>
      <c r="E62" s="99">
        <v>5181600</v>
      </c>
      <c r="F62" s="99">
        <v>671000</v>
      </c>
      <c r="G62" s="99"/>
      <c r="H62" s="94">
        <f>SUM(I62,L62)</f>
        <v>0</v>
      </c>
      <c r="I62" s="99"/>
      <c r="J62" s="99"/>
      <c r="K62" s="99"/>
      <c r="L62" s="99"/>
      <c r="M62" s="99"/>
      <c r="N62" s="100">
        <f t="shared" si="1"/>
        <v>8300000</v>
      </c>
      <c r="O62" s="79">
        <f t="shared" si="3"/>
        <v>8300000</v>
      </c>
    </row>
    <row r="63" spans="1:15" ht="16.5">
      <c r="A63" s="60" t="s">
        <v>55</v>
      </c>
      <c r="B63" s="141" t="s">
        <v>82</v>
      </c>
      <c r="C63" s="98">
        <f t="shared" si="14"/>
        <v>5293180</v>
      </c>
      <c r="D63" s="93">
        <v>5293180</v>
      </c>
      <c r="E63" s="93">
        <v>3020000</v>
      </c>
      <c r="F63" s="93">
        <v>459300</v>
      </c>
      <c r="G63" s="93"/>
      <c r="H63" s="94">
        <f>SUM(I63,L63)</f>
        <v>300000</v>
      </c>
      <c r="I63" s="105">
        <v>270000</v>
      </c>
      <c r="J63" s="105"/>
      <c r="K63" s="105">
        <v>80000</v>
      </c>
      <c r="L63" s="105">
        <v>30000</v>
      </c>
      <c r="M63" s="105"/>
      <c r="N63" s="100">
        <f t="shared" si="1"/>
        <v>5593180</v>
      </c>
      <c r="O63" s="79">
        <f t="shared" si="3"/>
        <v>5593180</v>
      </c>
    </row>
    <row r="64" spans="1:15" ht="47.25">
      <c r="A64" s="60" t="s">
        <v>56</v>
      </c>
      <c r="B64" s="141" t="s">
        <v>265</v>
      </c>
      <c r="C64" s="98">
        <f aca="true" t="shared" si="16" ref="C64:C81">SUM(D64,G64)</f>
        <v>920000</v>
      </c>
      <c r="D64" s="99">
        <v>920000</v>
      </c>
      <c r="E64" s="99">
        <v>603300</v>
      </c>
      <c r="F64" s="99">
        <v>41200</v>
      </c>
      <c r="G64" s="99"/>
      <c r="H64" s="94">
        <f aca="true" t="shared" si="17" ref="H64:H80">SUM(I64,L64)</f>
        <v>0</v>
      </c>
      <c r="I64" s="99"/>
      <c r="J64" s="99"/>
      <c r="K64" s="99"/>
      <c r="L64" s="99"/>
      <c r="M64" s="99"/>
      <c r="N64" s="100">
        <f t="shared" si="1"/>
        <v>920000</v>
      </c>
      <c r="O64" s="79">
        <f t="shared" si="3"/>
        <v>920000</v>
      </c>
    </row>
    <row r="65" spans="1:15" ht="31.5">
      <c r="A65" s="60" t="s">
        <v>57</v>
      </c>
      <c r="B65" s="141" t="s">
        <v>135</v>
      </c>
      <c r="C65" s="98">
        <f t="shared" si="16"/>
        <v>1350973</v>
      </c>
      <c r="D65" s="99">
        <v>1350973</v>
      </c>
      <c r="E65" s="99">
        <v>890000</v>
      </c>
      <c r="F65" s="99">
        <v>80500</v>
      </c>
      <c r="G65" s="99"/>
      <c r="H65" s="94">
        <f t="shared" si="17"/>
        <v>1500000</v>
      </c>
      <c r="I65" s="99">
        <v>1400000</v>
      </c>
      <c r="J65" s="99">
        <v>800000</v>
      </c>
      <c r="K65" s="99">
        <v>80000</v>
      </c>
      <c r="L65" s="99">
        <v>100000</v>
      </c>
      <c r="M65" s="99"/>
      <c r="N65" s="100">
        <f t="shared" si="1"/>
        <v>2850973</v>
      </c>
      <c r="O65" s="79">
        <f t="shared" si="3"/>
        <v>2850973</v>
      </c>
    </row>
    <row r="66" spans="1:15" ht="31.5">
      <c r="A66" s="60" t="s">
        <v>58</v>
      </c>
      <c r="B66" s="141" t="s">
        <v>10</v>
      </c>
      <c r="C66" s="98">
        <f t="shared" si="16"/>
        <v>650238</v>
      </c>
      <c r="D66" s="99">
        <f>640000+238</f>
        <v>640238</v>
      </c>
      <c r="E66" s="99">
        <v>375000</v>
      </c>
      <c r="F66" s="99">
        <v>89000</v>
      </c>
      <c r="G66" s="99">
        <v>10000</v>
      </c>
      <c r="H66" s="94">
        <f t="shared" si="17"/>
        <v>0</v>
      </c>
      <c r="I66" s="99"/>
      <c r="J66" s="99"/>
      <c r="K66" s="99"/>
      <c r="L66" s="99"/>
      <c r="M66" s="99"/>
      <c r="N66" s="100">
        <f t="shared" si="1"/>
        <v>650238</v>
      </c>
      <c r="O66" s="79">
        <f t="shared" si="3"/>
        <v>650238</v>
      </c>
    </row>
    <row r="67" spans="1:15" ht="20.25" customHeight="1">
      <c r="A67" s="60" t="s">
        <v>59</v>
      </c>
      <c r="B67" s="141" t="s">
        <v>60</v>
      </c>
      <c r="C67" s="98">
        <f t="shared" si="16"/>
        <v>2564923</v>
      </c>
      <c r="D67" s="99">
        <f>2560000+4923</f>
        <v>2564923</v>
      </c>
      <c r="E67" s="99">
        <v>1796000</v>
      </c>
      <c r="F67" s="99">
        <v>61000</v>
      </c>
      <c r="G67" s="99"/>
      <c r="H67" s="94">
        <f t="shared" si="17"/>
        <v>0</v>
      </c>
      <c r="I67" s="99"/>
      <c r="J67" s="99"/>
      <c r="K67" s="99"/>
      <c r="L67" s="99"/>
      <c r="M67" s="99"/>
      <c r="N67" s="100">
        <f t="shared" si="1"/>
        <v>2564923</v>
      </c>
      <c r="O67" s="79">
        <f t="shared" si="3"/>
        <v>2564923</v>
      </c>
    </row>
    <row r="68" spans="1:15" ht="33.75" customHeight="1">
      <c r="A68" s="60" t="s">
        <v>61</v>
      </c>
      <c r="B68" s="141" t="s">
        <v>260</v>
      </c>
      <c r="C68" s="98">
        <f t="shared" si="16"/>
        <v>10966014</v>
      </c>
      <c r="D68" s="99">
        <f>D69+D70+D71+D72+D73+D74+D75+D76</f>
        <v>10774814</v>
      </c>
      <c r="E68" s="99">
        <f>E69+E70+E71+E72+E73+E74+E75+E76</f>
        <v>6617800</v>
      </c>
      <c r="F68" s="99">
        <f>F69+F70+F71+F72+F73+F74+F75+F76</f>
        <v>383400</v>
      </c>
      <c r="G68" s="99">
        <f>G69+G70+G71+G72+G73+G74+G75+G76</f>
        <v>191200</v>
      </c>
      <c r="H68" s="119">
        <f>H69+H70+H71+H72+H73+H74+H75+H76</f>
        <v>0</v>
      </c>
      <c r="I68" s="99"/>
      <c r="J68" s="99"/>
      <c r="K68" s="99"/>
      <c r="L68" s="99"/>
      <c r="M68" s="99"/>
      <c r="N68" s="100">
        <f t="shared" si="1"/>
        <v>10966014</v>
      </c>
      <c r="O68" s="79">
        <f t="shared" si="3"/>
        <v>10966014</v>
      </c>
    </row>
    <row r="69" spans="1:15" ht="48.75" customHeight="1">
      <c r="A69" s="60"/>
      <c r="B69" s="141" t="s">
        <v>275</v>
      </c>
      <c r="C69" s="98">
        <f t="shared" si="16"/>
        <v>3083090</v>
      </c>
      <c r="D69" s="99">
        <f>3081000+2090</f>
        <v>3083090</v>
      </c>
      <c r="E69" s="99">
        <v>2070000</v>
      </c>
      <c r="F69" s="99">
        <v>99400</v>
      </c>
      <c r="G69" s="99"/>
      <c r="H69" s="94">
        <f t="shared" si="17"/>
        <v>0</v>
      </c>
      <c r="I69" s="99"/>
      <c r="J69" s="99"/>
      <c r="K69" s="99"/>
      <c r="L69" s="99"/>
      <c r="M69" s="99"/>
      <c r="N69" s="100">
        <f t="shared" si="1"/>
        <v>3083090</v>
      </c>
      <c r="O69" s="79">
        <f t="shared" si="3"/>
        <v>3083090</v>
      </c>
    </row>
    <row r="70" spans="1:15" ht="31.5">
      <c r="A70" s="60"/>
      <c r="B70" s="141" t="s">
        <v>276</v>
      </c>
      <c r="C70" s="98">
        <f t="shared" si="16"/>
        <v>471231</v>
      </c>
      <c r="D70" s="99">
        <f>465000+1231</f>
        <v>466231</v>
      </c>
      <c r="E70" s="99">
        <v>305000</v>
      </c>
      <c r="F70" s="99">
        <v>24000</v>
      </c>
      <c r="G70" s="99">
        <v>5000</v>
      </c>
      <c r="H70" s="94">
        <f t="shared" si="17"/>
        <v>0</v>
      </c>
      <c r="I70" s="99"/>
      <c r="J70" s="99"/>
      <c r="K70" s="99"/>
      <c r="L70" s="99"/>
      <c r="M70" s="99"/>
      <c r="N70" s="100">
        <f t="shared" si="1"/>
        <v>471231</v>
      </c>
      <c r="O70" s="79">
        <f t="shared" si="3"/>
        <v>471231</v>
      </c>
    </row>
    <row r="71" spans="1:15" ht="47.25">
      <c r="A71" s="60"/>
      <c r="B71" s="141" t="s">
        <v>277</v>
      </c>
      <c r="C71" s="98">
        <f t="shared" si="16"/>
        <v>1518888</v>
      </c>
      <c r="D71" s="99">
        <f>1518200+688</f>
        <v>1518888</v>
      </c>
      <c r="E71" s="99">
        <v>1011000</v>
      </c>
      <c r="F71" s="99">
        <v>84000</v>
      </c>
      <c r="G71" s="99"/>
      <c r="H71" s="94">
        <f t="shared" si="17"/>
        <v>0</v>
      </c>
      <c r="I71" s="99"/>
      <c r="J71" s="99"/>
      <c r="K71" s="99"/>
      <c r="L71" s="99"/>
      <c r="M71" s="99"/>
      <c r="N71" s="100">
        <f t="shared" si="1"/>
        <v>1518888</v>
      </c>
      <c r="O71" s="79">
        <f t="shared" si="3"/>
        <v>1518888</v>
      </c>
    </row>
    <row r="72" spans="1:15" ht="84.75" customHeight="1">
      <c r="A72" s="60"/>
      <c r="B72" s="141" t="s">
        <v>278</v>
      </c>
      <c r="C72" s="98">
        <f t="shared" si="16"/>
        <v>2477499</v>
      </c>
      <c r="D72" s="99">
        <f>2257100+36199</f>
        <v>2293299</v>
      </c>
      <c r="E72" s="99">
        <v>1260000</v>
      </c>
      <c r="F72" s="99">
        <v>42000</v>
      </c>
      <c r="G72" s="99">
        <v>184200</v>
      </c>
      <c r="H72" s="94">
        <f t="shared" si="17"/>
        <v>0</v>
      </c>
      <c r="I72" s="99"/>
      <c r="J72" s="99"/>
      <c r="K72" s="99"/>
      <c r="L72" s="99"/>
      <c r="M72" s="99"/>
      <c r="N72" s="100">
        <f t="shared" si="1"/>
        <v>2477499</v>
      </c>
      <c r="O72" s="79">
        <f aca="true" t="shared" si="18" ref="O72:O135">C72+H72</f>
        <v>2477499</v>
      </c>
    </row>
    <row r="73" spans="1:15" ht="31.5">
      <c r="A73" s="60"/>
      <c r="B73" s="141" t="s">
        <v>136</v>
      </c>
      <c r="C73" s="98">
        <f t="shared" si="16"/>
        <v>158000</v>
      </c>
      <c r="D73" s="99">
        <v>158000</v>
      </c>
      <c r="E73" s="99"/>
      <c r="F73" s="99"/>
      <c r="G73" s="99"/>
      <c r="H73" s="94">
        <f t="shared" si="17"/>
        <v>0</v>
      </c>
      <c r="I73" s="99"/>
      <c r="J73" s="99"/>
      <c r="K73" s="99"/>
      <c r="L73" s="99"/>
      <c r="M73" s="99"/>
      <c r="N73" s="100">
        <f t="shared" si="1"/>
        <v>158000</v>
      </c>
      <c r="O73" s="79">
        <f t="shared" si="18"/>
        <v>158000</v>
      </c>
    </row>
    <row r="74" spans="1:15" ht="48.75" customHeight="1">
      <c r="A74" s="60"/>
      <c r="B74" s="141" t="s">
        <v>279</v>
      </c>
      <c r="C74" s="98">
        <f t="shared" si="16"/>
        <v>962475</v>
      </c>
      <c r="D74" s="99">
        <f>960000+2475</f>
        <v>962475</v>
      </c>
      <c r="E74" s="99">
        <v>644800</v>
      </c>
      <c r="F74" s="99">
        <v>40900</v>
      </c>
      <c r="G74" s="99"/>
      <c r="H74" s="94">
        <f t="shared" si="17"/>
        <v>0</v>
      </c>
      <c r="I74" s="99"/>
      <c r="J74" s="99"/>
      <c r="K74" s="99"/>
      <c r="L74" s="99"/>
      <c r="M74" s="99"/>
      <c r="N74" s="100">
        <f t="shared" si="1"/>
        <v>962475</v>
      </c>
      <c r="O74" s="79">
        <f t="shared" si="18"/>
        <v>962475</v>
      </c>
    </row>
    <row r="75" spans="1:15" ht="31.5">
      <c r="A75" s="60"/>
      <c r="B75" s="141" t="s">
        <v>280</v>
      </c>
      <c r="C75" s="98">
        <f t="shared" si="16"/>
        <v>920852</v>
      </c>
      <c r="D75" s="99">
        <f>898000+20852</f>
        <v>918852</v>
      </c>
      <c r="E75" s="99">
        <v>548700</v>
      </c>
      <c r="F75" s="99">
        <v>45600</v>
      </c>
      <c r="G75" s="99">
        <v>2000</v>
      </c>
      <c r="H75" s="94">
        <f t="shared" si="17"/>
        <v>0</v>
      </c>
      <c r="I75" s="99"/>
      <c r="J75" s="99"/>
      <c r="K75" s="99"/>
      <c r="L75" s="99"/>
      <c r="M75" s="99"/>
      <c r="N75" s="100">
        <f t="shared" si="1"/>
        <v>920852</v>
      </c>
      <c r="O75" s="79">
        <f t="shared" si="18"/>
        <v>920852</v>
      </c>
    </row>
    <row r="76" spans="1:15" ht="66.75" customHeight="1">
      <c r="A76" s="60"/>
      <c r="B76" s="141" t="s">
        <v>281</v>
      </c>
      <c r="C76" s="98">
        <f t="shared" si="16"/>
        <v>1373979</v>
      </c>
      <c r="D76" s="99">
        <f>1368900+5079</f>
        <v>1373979</v>
      </c>
      <c r="E76" s="99">
        <v>778300</v>
      </c>
      <c r="F76" s="99">
        <v>47500</v>
      </c>
      <c r="G76" s="99"/>
      <c r="H76" s="94">
        <f t="shared" si="17"/>
        <v>0</v>
      </c>
      <c r="I76" s="99"/>
      <c r="J76" s="99"/>
      <c r="K76" s="99"/>
      <c r="L76" s="99"/>
      <c r="M76" s="99"/>
      <c r="N76" s="100">
        <f t="shared" si="1"/>
        <v>1373979</v>
      </c>
      <c r="O76" s="79">
        <f t="shared" si="18"/>
        <v>1373979</v>
      </c>
    </row>
    <row r="77" spans="1:15" ht="47.25">
      <c r="A77" s="60" t="s">
        <v>62</v>
      </c>
      <c r="B77" s="141" t="s">
        <v>63</v>
      </c>
      <c r="C77" s="98">
        <f t="shared" si="16"/>
        <v>305000</v>
      </c>
      <c r="D77" s="99">
        <v>305000</v>
      </c>
      <c r="E77" s="99">
        <v>202900</v>
      </c>
      <c r="F77" s="99">
        <v>13500</v>
      </c>
      <c r="G77" s="99"/>
      <c r="H77" s="94">
        <f t="shared" si="17"/>
        <v>0</v>
      </c>
      <c r="I77" s="99"/>
      <c r="J77" s="99"/>
      <c r="K77" s="99"/>
      <c r="L77" s="99"/>
      <c r="M77" s="99"/>
      <c r="N77" s="100">
        <f t="shared" si="1"/>
        <v>305000</v>
      </c>
      <c r="O77" s="79">
        <f t="shared" si="18"/>
        <v>305000</v>
      </c>
    </row>
    <row r="78" spans="1:15" ht="16.5">
      <c r="A78" s="60" t="s">
        <v>64</v>
      </c>
      <c r="B78" s="141" t="s">
        <v>65</v>
      </c>
      <c r="C78" s="98">
        <f t="shared" si="16"/>
        <v>373000</v>
      </c>
      <c r="D78" s="99">
        <v>373000</v>
      </c>
      <c r="E78" s="99">
        <v>274200</v>
      </c>
      <c r="F78" s="99"/>
      <c r="G78" s="99"/>
      <c r="H78" s="94">
        <f t="shared" si="17"/>
        <v>0</v>
      </c>
      <c r="I78" s="99"/>
      <c r="J78" s="99"/>
      <c r="K78" s="99"/>
      <c r="L78" s="99"/>
      <c r="M78" s="99"/>
      <c r="N78" s="100">
        <f t="shared" si="1"/>
        <v>373000</v>
      </c>
      <c r="O78" s="79">
        <f t="shared" si="18"/>
        <v>373000</v>
      </c>
    </row>
    <row r="79" spans="1:15" ht="31.5">
      <c r="A79" s="60" t="s">
        <v>282</v>
      </c>
      <c r="B79" s="141" t="s">
        <v>283</v>
      </c>
      <c r="C79" s="98">
        <f t="shared" si="16"/>
        <v>1250000</v>
      </c>
      <c r="D79" s="99">
        <v>1157000</v>
      </c>
      <c r="E79" s="99"/>
      <c r="F79" s="99"/>
      <c r="G79" s="99">
        <v>93000</v>
      </c>
      <c r="H79" s="94"/>
      <c r="I79" s="99"/>
      <c r="J79" s="99"/>
      <c r="K79" s="99"/>
      <c r="L79" s="99"/>
      <c r="M79" s="99"/>
      <c r="N79" s="100">
        <f t="shared" si="1"/>
        <v>1250000</v>
      </c>
      <c r="O79" s="79">
        <f t="shared" si="18"/>
        <v>1250000</v>
      </c>
    </row>
    <row r="80" spans="1:31" ht="45">
      <c r="A80" s="60" t="s">
        <v>159</v>
      </c>
      <c r="B80" s="192" t="s">
        <v>257</v>
      </c>
      <c r="C80" s="98">
        <f t="shared" si="16"/>
        <v>8060900</v>
      </c>
      <c r="D80" s="99">
        <v>8060900</v>
      </c>
      <c r="E80" s="99"/>
      <c r="F80" s="99"/>
      <c r="G80" s="99"/>
      <c r="H80" s="94">
        <f t="shared" si="17"/>
        <v>0</v>
      </c>
      <c r="I80" s="99"/>
      <c r="J80" s="99"/>
      <c r="K80" s="99"/>
      <c r="L80" s="99"/>
      <c r="M80" s="99"/>
      <c r="N80" s="100">
        <f t="shared" si="1"/>
        <v>8060900</v>
      </c>
      <c r="O80" s="79">
        <f t="shared" si="18"/>
        <v>8060900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6.5">
      <c r="A81" s="60" t="s">
        <v>33</v>
      </c>
      <c r="B81" s="141" t="s">
        <v>87</v>
      </c>
      <c r="C81" s="98">
        <f t="shared" si="16"/>
        <v>995216</v>
      </c>
      <c r="D81" s="99">
        <f>829000+6216</f>
        <v>835216</v>
      </c>
      <c r="E81" s="99">
        <v>517500</v>
      </c>
      <c r="F81" s="99">
        <v>31600</v>
      </c>
      <c r="G81" s="99">
        <v>160000</v>
      </c>
      <c r="H81" s="94">
        <f>SUM(I81,L81)</f>
        <v>0</v>
      </c>
      <c r="I81" s="99"/>
      <c r="J81" s="99"/>
      <c r="K81" s="99"/>
      <c r="L81" s="99"/>
      <c r="M81" s="99"/>
      <c r="N81" s="100">
        <f t="shared" si="1"/>
        <v>995216</v>
      </c>
      <c r="O81" s="79">
        <f t="shared" si="18"/>
        <v>995216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47" customFormat="1" ht="47.25">
      <c r="A82" s="72" t="s">
        <v>149</v>
      </c>
      <c r="B82" s="51" t="s">
        <v>233</v>
      </c>
      <c r="C82" s="90">
        <f>C85+C86+C87+C88+C89+C90+C91+C93+C94+C83</f>
        <v>35041500</v>
      </c>
      <c r="D82" s="90">
        <f>D83+D85+D86+D87+D88+D89+D90+D91+D93+D94</f>
        <v>35041500</v>
      </c>
      <c r="E82" s="90">
        <f aca="true" t="shared" si="19" ref="E82:N82">E83+E85+E86+E87+E88+E89+E90+E91+E93+E94</f>
        <v>17377900</v>
      </c>
      <c r="F82" s="90">
        <f t="shared" si="19"/>
        <v>5115880</v>
      </c>
      <c r="G82" s="90">
        <f t="shared" si="19"/>
        <v>0</v>
      </c>
      <c r="H82" s="90">
        <f t="shared" si="19"/>
        <v>7934700</v>
      </c>
      <c r="I82" s="90">
        <f t="shared" si="19"/>
        <v>7462700</v>
      </c>
      <c r="J82" s="90">
        <f t="shared" si="19"/>
        <v>0</v>
      </c>
      <c r="K82" s="90">
        <f t="shared" si="19"/>
        <v>0</v>
      </c>
      <c r="L82" s="90">
        <f t="shared" si="19"/>
        <v>472000</v>
      </c>
      <c r="M82" s="90">
        <f t="shared" si="19"/>
        <v>0</v>
      </c>
      <c r="N82" s="90">
        <f t="shared" si="19"/>
        <v>42976200</v>
      </c>
      <c r="O82" s="79">
        <f t="shared" si="18"/>
        <v>42976200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</row>
    <row r="83" spans="1:31" s="47" customFormat="1" ht="30">
      <c r="A83" s="148" t="s">
        <v>324</v>
      </c>
      <c r="B83" s="192" t="s">
        <v>325</v>
      </c>
      <c r="C83" s="98">
        <f>SUM(D83+G83)</f>
        <v>50000</v>
      </c>
      <c r="D83" s="95">
        <f>D84</f>
        <v>50000</v>
      </c>
      <c r="E83" s="114"/>
      <c r="F83" s="114"/>
      <c r="G83" s="114"/>
      <c r="H83" s="114"/>
      <c r="I83" s="114"/>
      <c r="J83" s="114"/>
      <c r="K83" s="114"/>
      <c r="L83" s="114"/>
      <c r="M83" s="114"/>
      <c r="N83" s="100">
        <f t="shared" si="1"/>
        <v>50000</v>
      </c>
      <c r="O83" s="79">
        <f t="shared" si="18"/>
        <v>50000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</row>
    <row r="84" spans="1:31" s="47" customFormat="1" ht="30">
      <c r="A84" s="60"/>
      <c r="B84" s="192" t="s">
        <v>326</v>
      </c>
      <c r="C84" s="98">
        <f>SUM(D84+G84)</f>
        <v>50000</v>
      </c>
      <c r="D84" s="95">
        <v>50000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00">
        <f t="shared" si="1"/>
        <v>50000</v>
      </c>
      <c r="O84" s="79">
        <f t="shared" si="18"/>
        <v>50000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</row>
    <row r="85" spans="1:31" ht="47.25">
      <c r="A85" s="60" t="s">
        <v>22</v>
      </c>
      <c r="B85" s="144" t="s">
        <v>303</v>
      </c>
      <c r="C85" s="98">
        <f>SUM(D85+G85)</f>
        <v>488300</v>
      </c>
      <c r="D85" s="99">
        <v>488300</v>
      </c>
      <c r="E85" s="106"/>
      <c r="F85" s="106"/>
      <c r="G85" s="106"/>
      <c r="H85" s="108">
        <f>SUM(I85,L85)</f>
        <v>0</v>
      </c>
      <c r="I85" s="106"/>
      <c r="J85" s="106"/>
      <c r="K85" s="106"/>
      <c r="L85" s="106"/>
      <c r="M85" s="106"/>
      <c r="N85" s="100">
        <f t="shared" si="1"/>
        <v>488300</v>
      </c>
      <c r="O85" s="79">
        <f t="shared" si="18"/>
        <v>488300</v>
      </c>
      <c r="P85" s="24"/>
      <c r="Q85" s="23"/>
      <c r="R85" s="25"/>
      <c r="S85" s="25"/>
      <c r="T85" s="25"/>
      <c r="U85" s="25"/>
      <c r="V85" s="23"/>
      <c r="W85" s="25"/>
      <c r="X85" s="25"/>
      <c r="Y85" s="25"/>
      <c r="Z85" s="25"/>
      <c r="AA85" s="25"/>
      <c r="AB85" s="23"/>
      <c r="AC85" s="1"/>
      <c r="AD85" s="1"/>
      <c r="AE85" s="1"/>
    </row>
    <row r="86" spans="1:31" ht="31.5">
      <c r="A86" s="60" t="s">
        <v>2</v>
      </c>
      <c r="B86" s="144" t="s">
        <v>3</v>
      </c>
      <c r="C86" s="107">
        <f>D86+G86</f>
        <v>200000</v>
      </c>
      <c r="D86" s="93">
        <v>200000</v>
      </c>
      <c r="E86" s="93"/>
      <c r="F86" s="93"/>
      <c r="G86" s="93"/>
      <c r="H86" s="108">
        <f>SUM(I86,L86)</f>
        <v>0</v>
      </c>
      <c r="I86" s="93"/>
      <c r="J86" s="93"/>
      <c r="K86" s="93"/>
      <c r="L86" s="93"/>
      <c r="M86" s="93"/>
      <c r="N86" s="100">
        <f t="shared" si="1"/>
        <v>200000</v>
      </c>
      <c r="O86" s="79">
        <f t="shared" si="18"/>
        <v>200000</v>
      </c>
      <c r="P86" s="24"/>
      <c r="Q86" s="23"/>
      <c r="R86" s="25"/>
      <c r="S86" s="25"/>
      <c r="T86" s="25"/>
      <c r="U86" s="25"/>
      <c r="V86" s="23"/>
      <c r="W86" s="25"/>
      <c r="X86" s="25"/>
      <c r="Y86" s="25"/>
      <c r="Z86" s="25"/>
      <c r="AA86" s="25"/>
      <c r="AB86" s="23"/>
      <c r="AC86" s="1"/>
      <c r="AD86" s="1"/>
      <c r="AE86" s="1"/>
    </row>
    <row r="87" spans="1:31" ht="31.5">
      <c r="A87" s="60" t="s">
        <v>23</v>
      </c>
      <c r="B87" s="143" t="s">
        <v>88</v>
      </c>
      <c r="C87" s="107">
        <f>SUM(D87+G87)</f>
        <v>3254690</v>
      </c>
      <c r="D87" s="93">
        <v>3254690</v>
      </c>
      <c r="E87" s="93">
        <v>1760800</v>
      </c>
      <c r="F87" s="93">
        <v>458800</v>
      </c>
      <c r="G87" s="93"/>
      <c r="H87" s="108">
        <f>SUM(I87,L87)</f>
        <v>753300</v>
      </c>
      <c r="I87" s="93">
        <v>753300</v>
      </c>
      <c r="J87" s="93"/>
      <c r="K87" s="93"/>
      <c r="L87" s="93"/>
      <c r="M87" s="86"/>
      <c r="N87" s="87">
        <f aca="true" t="shared" si="20" ref="N87:N94">SUM(H87,C87)</f>
        <v>4007990</v>
      </c>
      <c r="O87" s="79">
        <f t="shared" si="18"/>
        <v>4007990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47.25">
      <c r="A88" s="60" t="s">
        <v>24</v>
      </c>
      <c r="B88" s="144" t="s">
        <v>128</v>
      </c>
      <c r="C88" s="107">
        <f>SUM(D88+G88)</f>
        <v>23830210</v>
      </c>
      <c r="D88" s="93">
        <v>23830210</v>
      </c>
      <c r="E88" s="93">
        <v>11654200</v>
      </c>
      <c r="F88" s="93">
        <v>4026280</v>
      </c>
      <c r="G88" s="93"/>
      <c r="H88" s="108">
        <f>SUM(I88,L88)</f>
        <v>7181400</v>
      </c>
      <c r="I88" s="93">
        <v>6709400</v>
      </c>
      <c r="J88" s="93"/>
      <c r="K88" s="93"/>
      <c r="L88" s="93">
        <v>472000</v>
      </c>
      <c r="M88" s="86"/>
      <c r="N88" s="87">
        <f t="shared" si="20"/>
        <v>31011610</v>
      </c>
      <c r="O88" s="79">
        <f t="shared" si="18"/>
        <v>31011610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47.25">
      <c r="A89" s="60" t="s">
        <v>25</v>
      </c>
      <c r="B89" s="145" t="s">
        <v>89</v>
      </c>
      <c r="C89" s="107">
        <f>D89+G89</f>
        <v>25900</v>
      </c>
      <c r="D89" s="93">
        <v>25900</v>
      </c>
      <c r="E89" s="93">
        <v>17600</v>
      </c>
      <c r="F89" s="93"/>
      <c r="G89" s="93"/>
      <c r="H89" s="86"/>
      <c r="I89" s="86"/>
      <c r="J89" s="86"/>
      <c r="K89" s="86"/>
      <c r="L89" s="86"/>
      <c r="M89" s="86"/>
      <c r="N89" s="87">
        <f t="shared" si="20"/>
        <v>25900</v>
      </c>
      <c r="O89" s="79">
        <f t="shared" si="18"/>
        <v>25900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33" customHeight="1">
      <c r="A90" s="60" t="s">
        <v>26</v>
      </c>
      <c r="B90" s="145" t="s">
        <v>143</v>
      </c>
      <c r="C90" s="107">
        <f>SUM(D90+G90)</f>
        <v>4070100</v>
      </c>
      <c r="D90" s="93">
        <v>4070100</v>
      </c>
      <c r="E90" s="93">
        <v>2590100</v>
      </c>
      <c r="F90" s="93">
        <v>167000</v>
      </c>
      <c r="G90" s="93"/>
      <c r="H90" s="86"/>
      <c r="I90" s="86"/>
      <c r="J90" s="86"/>
      <c r="K90" s="86"/>
      <c r="L90" s="86"/>
      <c r="M90" s="86"/>
      <c r="N90" s="87">
        <f t="shared" si="20"/>
        <v>4070100</v>
      </c>
      <c r="O90" s="79">
        <f t="shared" si="18"/>
        <v>4070100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6.5">
      <c r="A91" s="60" t="s">
        <v>27</v>
      </c>
      <c r="B91" s="146" t="s">
        <v>228</v>
      </c>
      <c r="C91" s="107">
        <f>D91+G91</f>
        <v>2636400</v>
      </c>
      <c r="D91" s="93">
        <f aca="true" t="shared" si="21" ref="D91:M91">D92</f>
        <v>2636400</v>
      </c>
      <c r="E91" s="93">
        <f t="shared" si="21"/>
        <v>1355200</v>
      </c>
      <c r="F91" s="93">
        <f t="shared" si="21"/>
        <v>463800</v>
      </c>
      <c r="G91" s="93">
        <f t="shared" si="21"/>
        <v>0</v>
      </c>
      <c r="H91" s="86">
        <f t="shared" si="21"/>
        <v>0</v>
      </c>
      <c r="I91" s="93">
        <f t="shared" si="21"/>
        <v>0</v>
      </c>
      <c r="J91" s="93">
        <f t="shared" si="21"/>
        <v>0</v>
      </c>
      <c r="K91" s="93">
        <f t="shared" si="21"/>
        <v>0</v>
      </c>
      <c r="L91" s="93">
        <f t="shared" si="21"/>
        <v>0</v>
      </c>
      <c r="M91" s="93">
        <f t="shared" si="21"/>
        <v>0</v>
      </c>
      <c r="N91" s="87">
        <f t="shared" si="20"/>
        <v>2636400</v>
      </c>
      <c r="O91" s="79">
        <f t="shared" si="18"/>
        <v>2636400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83.25" customHeight="1">
      <c r="A92" s="60" t="s">
        <v>225</v>
      </c>
      <c r="B92" s="146" t="s">
        <v>285</v>
      </c>
      <c r="C92" s="107">
        <f>D92+G92</f>
        <v>2636400</v>
      </c>
      <c r="D92" s="93">
        <v>2636400</v>
      </c>
      <c r="E92" s="93">
        <v>1355200</v>
      </c>
      <c r="F92" s="93">
        <v>463800</v>
      </c>
      <c r="G92" s="93"/>
      <c r="H92" s="86"/>
      <c r="I92" s="86"/>
      <c r="J92" s="86"/>
      <c r="K92" s="86"/>
      <c r="L92" s="86"/>
      <c r="M92" s="86"/>
      <c r="N92" s="87">
        <f t="shared" si="20"/>
        <v>2636400</v>
      </c>
      <c r="O92" s="79">
        <f t="shared" si="18"/>
        <v>2636400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62.25" customHeight="1">
      <c r="A93" s="60" t="s">
        <v>220</v>
      </c>
      <c r="B93" s="144" t="s">
        <v>221</v>
      </c>
      <c r="C93" s="107">
        <f>D93+G93</f>
        <v>445900</v>
      </c>
      <c r="D93" s="93">
        <v>445900</v>
      </c>
      <c r="E93" s="93"/>
      <c r="F93" s="93"/>
      <c r="G93" s="93"/>
      <c r="H93" s="86"/>
      <c r="I93" s="86"/>
      <c r="J93" s="86"/>
      <c r="K93" s="86"/>
      <c r="L93" s="86"/>
      <c r="M93" s="86"/>
      <c r="N93" s="87">
        <f t="shared" si="20"/>
        <v>445900</v>
      </c>
      <c r="O93" s="79">
        <f t="shared" si="18"/>
        <v>445900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31.5">
      <c r="A94" s="60" t="s">
        <v>222</v>
      </c>
      <c r="B94" s="144" t="s">
        <v>223</v>
      </c>
      <c r="C94" s="107">
        <f>D94+G94</f>
        <v>40000</v>
      </c>
      <c r="D94" s="93">
        <v>40000</v>
      </c>
      <c r="E94" s="93"/>
      <c r="F94" s="93"/>
      <c r="G94" s="93"/>
      <c r="H94" s="86"/>
      <c r="I94" s="86"/>
      <c r="J94" s="86"/>
      <c r="K94" s="86"/>
      <c r="L94" s="86"/>
      <c r="M94" s="86"/>
      <c r="N94" s="87">
        <f t="shared" si="20"/>
        <v>40000</v>
      </c>
      <c r="O94" s="79">
        <f t="shared" si="18"/>
        <v>40000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15" s="47" customFormat="1" ht="31.5">
      <c r="A95" s="72" t="s">
        <v>151</v>
      </c>
      <c r="B95" s="49" t="s">
        <v>187</v>
      </c>
      <c r="C95" s="89">
        <f>D95+G95</f>
        <v>4063198</v>
      </c>
      <c r="D95" s="90">
        <f>D96+D97+D100+D102+D105+D110+D112</f>
        <v>4048198</v>
      </c>
      <c r="E95" s="90">
        <f aca="true" t="shared" si="22" ref="E95:N95">E96+E97+E100+E102+E105+E110+E112</f>
        <v>926750</v>
      </c>
      <c r="F95" s="90">
        <f t="shared" si="22"/>
        <v>69900</v>
      </c>
      <c r="G95" s="90">
        <f t="shared" si="22"/>
        <v>15000</v>
      </c>
      <c r="H95" s="90">
        <f t="shared" si="22"/>
        <v>700000</v>
      </c>
      <c r="I95" s="90">
        <f t="shared" si="22"/>
        <v>700000</v>
      </c>
      <c r="J95" s="90">
        <f t="shared" si="22"/>
        <v>0</v>
      </c>
      <c r="K95" s="90">
        <f t="shared" si="22"/>
        <v>0</v>
      </c>
      <c r="L95" s="90">
        <f t="shared" si="22"/>
        <v>0</v>
      </c>
      <c r="M95" s="90">
        <f t="shared" si="22"/>
        <v>0</v>
      </c>
      <c r="N95" s="91">
        <f t="shared" si="22"/>
        <v>4763198</v>
      </c>
      <c r="O95" s="79">
        <f t="shared" si="18"/>
        <v>4763198</v>
      </c>
    </row>
    <row r="96" spans="1:15" ht="31.5">
      <c r="A96" s="60" t="s">
        <v>13</v>
      </c>
      <c r="B96" s="67" t="s">
        <v>210</v>
      </c>
      <c r="C96" s="107">
        <f aca="true" t="shared" si="23" ref="C96:C113">SUM(G96,D96)</f>
        <v>892200</v>
      </c>
      <c r="D96" s="105">
        <v>892200</v>
      </c>
      <c r="E96" s="105">
        <v>582100</v>
      </c>
      <c r="F96" s="93">
        <v>29800</v>
      </c>
      <c r="G96" s="105"/>
      <c r="H96" s="86">
        <f>SUM(I96,L96)</f>
        <v>0</v>
      </c>
      <c r="I96" s="93"/>
      <c r="J96" s="86"/>
      <c r="K96" s="86"/>
      <c r="L96" s="86"/>
      <c r="M96" s="86"/>
      <c r="N96" s="87">
        <f aca="true" t="shared" si="24" ref="N96:N183">SUM(H96,C96)</f>
        <v>892200</v>
      </c>
      <c r="O96" s="79">
        <f t="shared" si="18"/>
        <v>892200</v>
      </c>
    </row>
    <row r="97" spans="1:15" ht="48.75" customHeight="1">
      <c r="A97" s="60" t="s">
        <v>14</v>
      </c>
      <c r="B97" s="67" t="s">
        <v>209</v>
      </c>
      <c r="C97" s="107">
        <f t="shared" si="23"/>
        <v>63667</v>
      </c>
      <c r="D97" s="105">
        <f>D98+D99</f>
        <v>63667</v>
      </c>
      <c r="E97" s="105">
        <f>E98+E99</f>
        <v>1850</v>
      </c>
      <c r="F97" s="105">
        <f>F98+F99</f>
        <v>0</v>
      </c>
      <c r="G97" s="105">
        <f>G98+G99</f>
        <v>0</v>
      </c>
      <c r="H97" s="108">
        <f>H98+H99</f>
        <v>0</v>
      </c>
      <c r="I97" s="105"/>
      <c r="J97" s="86"/>
      <c r="K97" s="86"/>
      <c r="L97" s="86"/>
      <c r="M97" s="86"/>
      <c r="N97" s="87">
        <f t="shared" si="24"/>
        <v>63667</v>
      </c>
      <c r="O97" s="79">
        <f t="shared" si="18"/>
        <v>63667</v>
      </c>
    </row>
    <row r="98" spans="1:15" ht="32.25" customHeight="1">
      <c r="A98" s="60" t="s">
        <v>225</v>
      </c>
      <c r="B98" s="67" t="s">
        <v>249</v>
      </c>
      <c r="C98" s="107">
        <f t="shared" si="23"/>
        <v>56953</v>
      </c>
      <c r="D98" s="105">
        <f>56386+567</f>
        <v>56953</v>
      </c>
      <c r="E98" s="105"/>
      <c r="F98" s="86"/>
      <c r="G98" s="86"/>
      <c r="H98" s="86"/>
      <c r="I98" s="105"/>
      <c r="J98" s="86"/>
      <c r="K98" s="86"/>
      <c r="L98" s="86"/>
      <c r="M98" s="86"/>
      <c r="N98" s="87">
        <f t="shared" si="24"/>
        <v>56953</v>
      </c>
      <c r="O98" s="79">
        <f t="shared" si="18"/>
        <v>56953</v>
      </c>
    </row>
    <row r="99" spans="1:15" ht="95.25" customHeight="1">
      <c r="A99" s="60"/>
      <c r="B99" s="141" t="s">
        <v>295</v>
      </c>
      <c r="C99" s="107">
        <f t="shared" si="23"/>
        <v>6714</v>
      </c>
      <c r="D99" s="105">
        <v>6714</v>
      </c>
      <c r="E99" s="105">
        <v>1850</v>
      </c>
      <c r="F99" s="86"/>
      <c r="G99" s="86"/>
      <c r="H99" s="86"/>
      <c r="I99" s="105"/>
      <c r="J99" s="86"/>
      <c r="K99" s="86"/>
      <c r="L99" s="86"/>
      <c r="M99" s="86"/>
      <c r="N99" s="87">
        <f t="shared" si="24"/>
        <v>6714</v>
      </c>
      <c r="O99" s="79">
        <f t="shared" si="18"/>
        <v>6714</v>
      </c>
    </row>
    <row r="100" spans="1:15" ht="47.25">
      <c r="A100" s="60" t="s">
        <v>15</v>
      </c>
      <c r="B100" s="67" t="s">
        <v>103</v>
      </c>
      <c r="C100" s="107">
        <f t="shared" si="23"/>
        <v>521200</v>
      </c>
      <c r="D100" s="105">
        <f>D101</f>
        <v>521200</v>
      </c>
      <c r="E100" s="105"/>
      <c r="F100" s="86"/>
      <c r="G100" s="86"/>
      <c r="H100" s="108">
        <f>SUM(I100,L100)</f>
        <v>0</v>
      </c>
      <c r="I100" s="105"/>
      <c r="J100" s="86"/>
      <c r="K100" s="86"/>
      <c r="L100" s="86"/>
      <c r="M100" s="86"/>
      <c r="N100" s="87">
        <f t="shared" si="24"/>
        <v>521200</v>
      </c>
      <c r="O100" s="79">
        <f t="shared" si="18"/>
        <v>521200</v>
      </c>
    </row>
    <row r="101" spans="1:15" ht="31.5">
      <c r="A101" s="60" t="s">
        <v>225</v>
      </c>
      <c r="B101" s="67" t="s">
        <v>249</v>
      </c>
      <c r="C101" s="107">
        <f t="shared" si="23"/>
        <v>521200</v>
      </c>
      <c r="D101" s="105">
        <v>521200</v>
      </c>
      <c r="E101" s="105"/>
      <c r="F101" s="86"/>
      <c r="G101" s="86"/>
      <c r="H101" s="108"/>
      <c r="I101" s="105"/>
      <c r="J101" s="86"/>
      <c r="K101" s="86"/>
      <c r="L101" s="86"/>
      <c r="M101" s="86"/>
      <c r="N101" s="87">
        <f t="shared" si="24"/>
        <v>521200</v>
      </c>
      <c r="O101" s="79">
        <f t="shared" si="18"/>
        <v>521200</v>
      </c>
    </row>
    <row r="102" spans="1:15" ht="63">
      <c r="A102" s="60" t="s">
        <v>16</v>
      </c>
      <c r="B102" s="67" t="s">
        <v>296</v>
      </c>
      <c r="C102" s="107">
        <f t="shared" si="23"/>
        <v>50000</v>
      </c>
      <c r="D102" s="105">
        <f>D103+D104</f>
        <v>50000</v>
      </c>
      <c r="E102" s="105"/>
      <c r="F102" s="86"/>
      <c r="G102" s="86"/>
      <c r="H102" s="86"/>
      <c r="I102" s="86"/>
      <c r="J102" s="86"/>
      <c r="K102" s="86"/>
      <c r="L102" s="86"/>
      <c r="M102" s="86"/>
      <c r="N102" s="87">
        <f t="shared" si="24"/>
        <v>50000</v>
      </c>
      <c r="O102" s="79">
        <f t="shared" si="18"/>
        <v>50000</v>
      </c>
    </row>
    <row r="103" spans="1:15" ht="51" customHeight="1">
      <c r="A103" s="60" t="s">
        <v>225</v>
      </c>
      <c r="B103" s="67" t="s">
        <v>251</v>
      </c>
      <c r="C103" s="107">
        <f t="shared" si="23"/>
        <v>25000</v>
      </c>
      <c r="D103" s="105">
        <v>25000</v>
      </c>
      <c r="E103" s="105"/>
      <c r="F103" s="86"/>
      <c r="G103" s="86"/>
      <c r="H103" s="86"/>
      <c r="I103" s="86"/>
      <c r="J103" s="86"/>
      <c r="K103" s="86"/>
      <c r="L103" s="86"/>
      <c r="M103" s="86"/>
      <c r="N103" s="87">
        <f t="shared" si="24"/>
        <v>25000</v>
      </c>
      <c r="O103" s="79">
        <f t="shared" si="18"/>
        <v>25000</v>
      </c>
    </row>
    <row r="104" spans="1:15" ht="48" customHeight="1">
      <c r="A104" s="60"/>
      <c r="B104" s="67" t="s">
        <v>252</v>
      </c>
      <c r="C104" s="107">
        <f t="shared" si="23"/>
        <v>25000</v>
      </c>
      <c r="D104" s="105">
        <v>25000</v>
      </c>
      <c r="E104" s="105"/>
      <c r="F104" s="86"/>
      <c r="G104" s="86"/>
      <c r="H104" s="86"/>
      <c r="I104" s="86"/>
      <c r="J104" s="86"/>
      <c r="K104" s="86"/>
      <c r="L104" s="86"/>
      <c r="M104" s="86"/>
      <c r="N104" s="87">
        <f t="shared" si="24"/>
        <v>25000</v>
      </c>
      <c r="O104" s="79">
        <f t="shared" si="18"/>
        <v>25000</v>
      </c>
    </row>
    <row r="105" spans="1:15" ht="16.5">
      <c r="A105" s="60" t="s">
        <v>17</v>
      </c>
      <c r="B105" s="67" t="s">
        <v>104</v>
      </c>
      <c r="C105" s="107">
        <f>SUM(G105,D105)</f>
        <v>642631</v>
      </c>
      <c r="D105" s="105">
        <f>D106+D108+D109</f>
        <v>627631</v>
      </c>
      <c r="E105" s="105">
        <f>E106+E108+E109</f>
        <v>342800</v>
      </c>
      <c r="F105" s="105">
        <f>F106+F108+F109</f>
        <v>40100</v>
      </c>
      <c r="G105" s="105">
        <f>G106+G108+G109</f>
        <v>15000</v>
      </c>
      <c r="H105" s="108">
        <f>H106+H108+H109</f>
        <v>0</v>
      </c>
      <c r="I105" s="105">
        <f>I106+I108</f>
        <v>0</v>
      </c>
      <c r="J105" s="105">
        <f>J106+J108</f>
        <v>0</v>
      </c>
      <c r="K105" s="105">
        <f>K106+K108</f>
        <v>0</v>
      </c>
      <c r="L105" s="105">
        <f>L106+L108</f>
        <v>0</v>
      </c>
      <c r="M105" s="105">
        <f>M106+M108</f>
        <v>0</v>
      </c>
      <c r="N105" s="87">
        <f t="shared" si="24"/>
        <v>642631</v>
      </c>
      <c r="O105" s="79">
        <f t="shared" si="18"/>
        <v>642631</v>
      </c>
    </row>
    <row r="106" spans="1:15" ht="78.75">
      <c r="A106" s="60"/>
      <c r="B106" s="67" t="s">
        <v>255</v>
      </c>
      <c r="C106" s="107">
        <f t="shared" si="23"/>
        <v>302631</v>
      </c>
      <c r="D106" s="105">
        <f>285000+2631</f>
        <v>287631</v>
      </c>
      <c r="E106" s="105">
        <v>174400</v>
      </c>
      <c r="F106" s="93">
        <v>8400</v>
      </c>
      <c r="G106" s="93">
        <v>15000</v>
      </c>
      <c r="H106" s="86"/>
      <c r="I106" s="86"/>
      <c r="J106" s="86"/>
      <c r="K106" s="86"/>
      <c r="L106" s="86"/>
      <c r="M106" s="86"/>
      <c r="N106" s="87">
        <f t="shared" si="24"/>
        <v>302631</v>
      </c>
      <c r="O106" s="79">
        <f t="shared" si="18"/>
        <v>302631</v>
      </c>
    </row>
    <row r="107" spans="1:15" ht="31.5">
      <c r="A107" s="60" t="s">
        <v>225</v>
      </c>
      <c r="B107" s="67" t="s">
        <v>249</v>
      </c>
      <c r="C107" s="107">
        <f t="shared" si="23"/>
        <v>17500</v>
      </c>
      <c r="D107" s="105">
        <f>16500+1000</f>
        <v>17500</v>
      </c>
      <c r="E107" s="105"/>
      <c r="F107" s="93"/>
      <c r="G107" s="93"/>
      <c r="H107" s="86"/>
      <c r="I107" s="86"/>
      <c r="J107" s="86"/>
      <c r="K107" s="86"/>
      <c r="L107" s="86"/>
      <c r="M107" s="86"/>
      <c r="N107" s="87">
        <f t="shared" si="24"/>
        <v>17500</v>
      </c>
      <c r="O107" s="79">
        <f t="shared" si="18"/>
        <v>17500</v>
      </c>
    </row>
    <row r="108" spans="1:15" ht="47.25">
      <c r="A108" s="60"/>
      <c r="B108" s="67" t="s">
        <v>299</v>
      </c>
      <c r="C108" s="107">
        <f t="shared" si="23"/>
        <v>310000</v>
      </c>
      <c r="D108" s="105">
        <v>310000</v>
      </c>
      <c r="E108" s="105">
        <v>153000</v>
      </c>
      <c r="F108" s="93">
        <v>25500</v>
      </c>
      <c r="G108" s="93"/>
      <c r="H108" s="86"/>
      <c r="I108" s="86"/>
      <c r="J108" s="86"/>
      <c r="K108" s="86"/>
      <c r="L108" s="86"/>
      <c r="M108" s="86"/>
      <c r="N108" s="87">
        <f t="shared" si="24"/>
        <v>310000</v>
      </c>
      <c r="O108" s="79">
        <f t="shared" si="18"/>
        <v>310000</v>
      </c>
    </row>
    <row r="109" spans="1:15" ht="47.25">
      <c r="A109" s="237"/>
      <c r="B109" s="255" t="s">
        <v>304</v>
      </c>
      <c r="C109" s="107">
        <f t="shared" si="23"/>
        <v>30000</v>
      </c>
      <c r="D109" s="105">
        <v>30000</v>
      </c>
      <c r="E109" s="105">
        <v>15400</v>
      </c>
      <c r="F109" s="93">
        <v>6200</v>
      </c>
      <c r="G109" s="93"/>
      <c r="H109" s="86"/>
      <c r="I109" s="86"/>
      <c r="J109" s="86"/>
      <c r="K109" s="86"/>
      <c r="L109" s="86"/>
      <c r="M109" s="86"/>
      <c r="N109" s="87">
        <f t="shared" si="24"/>
        <v>30000</v>
      </c>
      <c r="O109" s="79">
        <f t="shared" si="18"/>
        <v>30000</v>
      </c>
    </row>
    <row r="110" spans="1:15" ht="36" customHeight="1">
      <c r="A110" s="237" t="s">
        <v>298</v>
      </c>
      <c r="B110" s="255" t="s">
        <v>297</v>
      </c>
      <c r="C110" s="107">
        <f t="shared" si="23"/>
        <v>30000</v>
      </c>
      <c r="D110" s="105">
        <v>30000</v>
      </c>
      <c r="E110" s="105"/>
      <c r="F110" s="93"/>
      <c r="G110" s="93"/>
      <c r="H110" s="86"/>
      <c r="I110" s="86"/>
      <c r="J110" s="86"/>
      <c r="K110" s="86"/>
      <c r="L110" s="86"/>
      <c r="M110" s="86"/>
      <c r="N110" s="87">
        <f t="shared" si="24"/>
        <v>30000</v>
      </c>
      <c r="O110" s="79">
        <f t="shared" si="18"/>
        <v>30000</v>
      </c>
    </row>
    <row r="111" spans="1:15" ht="31.5">
      <c r="A111" s="237" t="s">
        <v>225</v>
      </c>
      <c r="B111" s="255" t="s">
        <v>250</v>
      </c>
      <c r="C111" s="107">
        <f t="shared" si="23"/>
        <v>30000</v>
      </c>
      <c r="D111" s="105">
        <v>30000</v>
      </c>
      <c r="E111" s="105"/>
      <c r="F111" s="93"/>
      <c r="G111" s="93"/>
      <c r="H111" s="86"/>
      <c r="I111" s="86"/>
      <c r="J111" s="86"/>
      <c r="K111" s="86"/>
      <c r="L111" s="86"/>
      <c r="M111" s="86"/>
      <c r="N111" s="87">
        <f t="shared" si="24"/>
        <v>30000</v>
      </c>
      <c r="O111" s="79">
        <f t="shared" si="18"/>
        <v>30000</v>
      </c>
    </row>
    <row r="112" spans="1:15" ht="114" customHeight="1">
      <c r="A112" s="237" t="s">
        <v>1</v>
      </c>
      <c r="B112" s="255" t="s">
        <v>197</v>
      </c>
      <c r="C112" s="107">
        <f t="shared" si="23"/>
        <v>1863500</v>
      </c>
      <c r="D112" s="105">
        <v>1863500</v>
      </c>
      <c r="E112" s="105"/>
      <c r="F112" s="93"/>
      <c r="G112" s="93"/>
      <c r="H112" s="86">
        <f>I112+L112</f>
        <v>700000</v>
      </c>
      <c r="I112" s="105">
        <v>700000</v>
      </c>
      <c r="J112" s="86"/>
      <c r="K112" s="86"/>
      <c r="L112" s="86"/>
      <c r="M112" s="86"/>
      <c r="N112" s="87">
        <f t="shared" si="24"/>
        <v>2563500</v>
      </c>
      <c r="O112" s="79">
        <f t="shared" si="18"/>
        <v>2563500</v>
      </c>
    </row>
    <row r="113" spans="1:15" ht="49.5" customHeight="1">
      <c r="A113" s="237" t="s">
        <v>225</v>
      </c>
      <c r="B113" s="67" t="s">
        <v>253</v>
      </c>
      <c r="C113" s="107">
        <f t="shared" si="23"/>
        <v>1863500</v>
      </c>
      <c r="D113" s="105">
        <v>1863500</v>
      </c>
      <c r="E113" s="105"/>
      <c r="F113" s="93"/>
      <c r="G113" s="93"/>
      <c r="H113" s="86">
        <f>I113+L113</f>
        <v>0</v>
      </c>
      <c r="I113" s="105"/>
      <c r="J113" s="86"/>
      <c r="K113" s="86"/>
      <c r="L113" s="86"/>
      <c r="M113" s="86"/>
      <c r="N113" s="87">
        <f t="shared" si="24"/>
        <v>1863500</v>
      </c>
      <c r="O113" s="79">
        <f t="shared" si="18"/>
        <v>1863500</v>
      </c>
    </row>
    <row r="114" spans="1:15" ht="31.5" customHeight="1">
      <c r="A114" s="238" t="s">
        <v>150</v>
      </c>
      <c r="B114" s="49" t="s">
        <v>199</v>
      </c>
      <c r="C114" s="89">
        <f>D114+G114</f>
        <v>1886800</v>
      </c>
      <c r="D114" s="90">
        <f>D115+D116+D117</f>
        <v>1886800</v>
      </c>
      <c r="E114" s="90">
        <f aca="true" t="shared" si="25" ref="E114:N114">E115+E116+E117</f>
        <v>926900</v>
      </c>
      <c r="F114" s="90">
        <f t="shared" si="25"/>
        <v>217500</v>
      </c>
      <c r="G114" s="90">
        <f t="shared" si="25"/>
        <v>0</v>
      </c>
      <c r="H114" s="90">
        <f t="shared" si="25"/>
        <v>0</v>
      </c>
      <c r="I114" s="90">
        <f t="shared" si="25"/>
        <v>0</v>
      </c>
      <c r="J114" s="90">
        <f t="shared" si="25"/>
        <v>0</v>
      </c>
      <c r="K114" s="90">
        <f t="shared" si="25"/>
        <v>0</v>
      </c>
      <c r="L114" s="90">
        <f t="shared" si="25"/>
        <v>0</v>
      </c>
      <c r="M114" s="90">
        <f t="shared" si="25"/>
        <v>0</v>
      </c>
      <c r="N114" s="91">
        <f t="shared" si="25"/>
        <v>1886800</v>
      </c>
      <c r="O114" s="79">
        <f t="shared" si="18"/>
        <v>1886800</v>
      </c>
    </row>
    <row r="115" spans="1:15" ht="21.75" customHeight="1">
      <c r="A115" s="237" t="s">
        <v>29</v>
      </c>
      <c r="B115" s="73" t="s">
        <v>247</v>
      </c>
      <c r="C115" s="107">
        <f>SUM(D115+G115)</f>
        <v>1621400</v>
      </c>
      <c r="D115" s="105">
        <v>1621400</v>
      </c>
      <c r="E115" s="105">
        <v>801900</v>
      </c>
      <c r="F115" s="105">
        <v>194200</v>
      </c>
      <c r="G115" s="105"/>
      <c r="H115" s="86">
        <f>SUM(I115,L115)</f>
        <v>0</v>
      </c>
      <c r="I115" s="105"/>
      <c r="J115" s="105"/>
      <c r="K115" s="105"/>
      <c r="L115" s="105"/>
      <c r="M115" s="105"/>
      <c r="N115" s="87">
        <f>SUM(H115,C115)</f>
        <v>1621400</v>
      </c>
      <c r="O115" s="79">
        <f t="shared" si="18"/>
        <v>1621400</v>
      </c>
    </row>
    <row r="116" spans="1:15" ht="31.5" customHeight="1">
      <c r="A116" s="60" t="s">
        <v>188</v>
      </c>
      <c r="B116" s="67" t="s">
        <v>198</v>
      </c>
      <c r="C116" s="107">
        <f>SUM(D116+G116)</f>
        <v>215000</v>
      </c>
      <c r="D116" s="105">
        <v>215000</v>
      </c>
      <c r="E116" s="105">
        <v>125000</v>
      </c>
      <c r="F116" s="105">
        <v>23300</v>
      </c>
      <c r="G116" s="105"/>
      <c r="H116" s="86">
        <f>SUM(I116,L116)</f>
        <v>0</v>
      </c>
      <c r="I116" s="99"/>
      <c r="J116" s="99"/>
      <c r="K116" s="99"/>
      <c r="L116" s="99"/>
      <c r="M116" s="99"/>
      <c r="N116" s="100">
        <f>SUM(H116,C116)</f>
        <v>215000</v>
      </c>
      <c r="O116" s="79">
        <f t="shared" si="18"/>
        <v>215000</v>
      </c>
    </row>
    <row r="117" spans="1:15" ht="31.5" customHeight="1">
      <c r="A117" s="60" t="s">
        <v>292</v>
      </c>
      <c r="B117" s="67" t="s">
        <v>293</v>
      </c>
      <c r="C117" s="107">
        <f>SUM(D117+G117)</f>
        <v>50400</v>
      </c>
      <c r="D117" s="105">
        <f>D118+D119</f>
        <v>50400</v>
      </c>
      <c r="E117" s="105"/>
      <c r="F117" s="105"/>
      <c r="G117" s="105"/>
      <c r="H117" s="86"/>
      <c r="I117" s="99"/>
      <c r="J117" s="99"/>
      <c r="K117" s="99"/>
      <c r="L117" s="99"/>
      <c r="M117" s="99"/>
      <c r="N117" s="100">
        <f>SUM(H117,C117)</f>
        <v>50400</v>
      </c>
      <c r="O117" s="79">
        <f t="shared" si="18"/>
        <v>50400</v>
      </c>
    </row>
    <row r="118" spans="1:15" ht="48.75" customHeight="1">
      <c r="A118" s="60" t="s">
        <v>225</v>
      </c>
      <c r="B118" s="141" t="s">
        <v>294</v>
      </c>
      <c r="C118" s="107">
        <f>SUM(D118+G118)</f>
        <v>10000</v>
      </c>
      <c r="D118" s="105">
        <v>10000</v>
      </c>
      <c r="E118" s="105"/>
      <c r="F118" s="105"/>
      <c r="G118" s="105"/>
      <c r="H118" s="86"/>
      <c r="I118" s="99"/>
      <c r="J118" s="99"/>
      <c r="K118" s="99"/>
      <c r="L118" s="99"/>
      <c r="M118" s="99"/>
      <c r="N118" s="100">
        <f>SUM(H118,C118)</f>
        <v>10000</v>
      </c>
      <c r="O118" s="79">
        <f t="shared" si="18"/>
        <v>10000</v>
      </c>
    </row>
    <row r="119" spans="1:15" ht="95.25" customHeight="1">
      <c r="A119" s="60"/>
      <c r="B119" s="141" t="s">
        <v>295</v>
      </c>
      <c r="C119" s="107">
        <f>SUM(D119+G119)</f>
        <v>40400</v>
      </c>
      <c r="D119" s="105">
        <v>40400</v>
      </c>
      <c r="E119" s="105"/>
      <c r="F119" s="105"/>
      <c r="G119" s="105"/>
      <c r="H119" s="86"/>
      <c r="I119" s="99"/>
      <c r="J119" s="99"/>
      <c r="K119" s="99"/>
      <c r="L119" s="99"/>
      <c r="M119" s="99"/>
      <c r="N119" s="100">
        <f>SUM(H119,C119)</f>
        <v>40400</v>
      </c>
      <c r="O119" s="79">
        <f t="shared" si="18"/>
        <v>40400</v>
      </c>
    </row>
    <row r="120" spans="1:15" ht="68.25" customHeight="1">
      <c r="A120" s="72" t="s">
        <v>156</v>
      </c>
      <c r="B120" s="49" t="s">
        <v>229</v>
      </c>
      <c r="C120" s="89">
        <f>SUM(G120,D120)</f>
        <v>982000</v>
      </c>
      <c r="D120" s="90">
        <f>D121</f>
        <v>832000</v>
      </c>
      <c r="E120" s="90">
        <f aca="true" t="shared" si="26" ref="E120:M120">E121</f>
        <v>0</v>
      </c>
      <c r="F120" s="90">
        <f t="shared" si="26"/>
        <v>0</v>
      </c>
      <c r="G120" s="90">
        <f t="shared" si="26"/>
        <v>150000</v>
      </c>
      <c r="H120" s="90">
        <f t="shared" si="26"/>
        <v>0</v>
      </c>
      <c r="I120" s="90">
        <f t="shared" si="26"/>
        <v>0</v>
      </c>
      <c r="J120" s="90">
        <f t="shared" si="26"/>
        <v>0</v>
      </c>
      <c r="K120" s="90">
        <f t="shared" si="26"/>
        <v>0</v>
      </c>
      <c r="L120" s="90">
        <f t="shared" si="26"/>
        <v>0</v>
      </c>
      <c r="M120" s="90">
        <f t="shared" si="26"/>
        <v>0</v>
      </c>
      <c r="N120" s="91">
        <f>C120+H120</f>
        <v>982000</v>
      </c>
      <c r="O120" s="79">
        <f t="shared" si="18"/>
        <v>982000</v>
      </c>
    </row>
    <row r="121" spans="1:15" ht="31.5" customHeight="1">
      <c r="A121" s="60" t="s">
        <v>30</v>
      </c>
      <c r="B121" s="73" t="s">
        <v>80</v>
      </c>
      <c r="C121" s="92">
        <f>SUM(G121,D121)</f>
        <v>982000</v>
      </c>
      <c r="D121" s="110">
        <f>D122</f>
        <v>832000</v>
      </c>
      <c r="E121" s="110">
        <f aca="true" t="shared" si="27" ref="E121:M121">E122</f>
        <v>0</v>
      </c>
      <c r="F121" s="110">
        <f t="shared" si="27"/>
        <v>0</v>
      </c>
      <c r="G121" s="110">
        <f t="shared" si="27"/>
        <v>150000</v>
      </c>
      <c r="H121" s="137">
        <f t="shared" si="27"/>
        <v>0</v>
      </c>
      <c r="I121" s="110">
        <f t="shared" si="27"/>
        <v>0</v>
      </c>
      <c r="J121" s="110">
        <f t="shared" si="27"/>
        <v>0</v>
      </c>
      <c r="K121" s="110">
        <f t="shared" si="27"/>
        <v>0</v>
      </c>
      <c r="L121" s="110">
        <f t="shared" si="27"/>
        <v>0</v>
      </c>
      <c r="M121" s="110">
        <f t="shared" si="27"/>
        <v>0</v>
      </c>
      <c r="N121" s="87">
        <f>SUM(H121,C121)</f>
        <v>982000</v>
      </c>
      <c r="O121" s="79">
        <f t="shared" si="18"/>
        <v>982000</v>
      </c>
    </row>
    <row r="122" spans="1:15" ht="63" customHeight="1">
      <c r="A122" s="60" t="s">
        <v>225</v>
      </c>
      <c r="B122" s="73" t="s">
        <v>244</v>
      </c>
      <c r="C122" s="92">
        <f>SUM(G122,D122)</f>
        <v>982000</v>
      </c>
      <c r="D122" s="110">
        <v>832000</v>
      </c>
      <c r="E122" s="110"/>
      <c r="F122" s="110"/>
      <c r="G122" s="110">
        <v>150000</v>
      </c>
      <c r="H122" s="86"/>
      <c r="I122" s="110"/>
      <c r="J122" s="110"/>
      <c r="K122" s="110"/>
      <c r="L122" s="110"/>
      <c r="M122" s="110"/>
      <c r="N122" s="87">
        <f>SUM(H122,C122)</f>
        <v>982000</v>
      </c>
      <c r="O122" s="79">
        <f t="shared" si="18"/>
        <v>982000</v>
      </c>
    </row>
    <row r="123" spans="1:15" s="47" customFormat="1" ht="31.5">
      <c r="A123" s="72" t="s">
        <v>186</v>
      </c>
      <c r="B123" s="49" t="s">
        <v>218</v>
      </c>
      <c r="C123" s="89">
        <f>D123+G123</f>
        <v>32548500</v>
      </c>
      <c r="D123" s="90">
        <f>D124+D125+D126+D127+D128+D129+D130</f>
        <v>32248500</v>
      </c>
      <c r="E123" s="90">
        <f aca="true" t="shared" si="28" ref="E123:N123">E124+E125+E126+E127+E128+E129+E130</f>
        <v>10380180</v>
      </c>
      <c r="F123" s="90">
        <f t="shared" si="28"/>
        <v>1317120</v>
      </c>
      <c r="G123" s="90">
        <f t="shared" si="28"/>
        <v>300000</v>
      </c>
      <c r="H123" s="90">
        <f t="shared" si="28"/>
        <v>820300</v>
      </c>
      <c r="I123" s="90">
        <f t="shared" si="28"/>
        <v>734091</v>
      </c>
      <c r="J123" s="90">
        <f t="shared" si="28"/>
        <v>63826</v>
      </c>
      <c r="K123" s="90">
        <f t="shared" si="28"/>
        <v>94900</v>
      </c>
      <c r="L123" s="90">
        <f t="shared" si="28"/>
        <v>86209</v>
      </c>
      <c r="M123" s="90">
        <f t="shared" si="28"/>
        <v>0</v>
      </c>
      <c r="N123" s="91">
        <f t="shared" si="28"/>
        <v>33368800</v>
      </c>
      <c r="O123" s="79">
        <f t="shared" si="18"/>
        <v>33368800</v>
      </c>
    </row>
    <row r="124" spans="1:15" ht="16.5">
      <c r="A124" s="60" t="s">
        <v>31</v>
      </c>
      <c r="B124" s="67" t="s">
        <v>83</v>
      </c>
      <c r="C124" s="107">
        <f aca="true" t="shared" si="29" ref="C124:C134">SUM(D124,G124)</f>
        <v>10993020</v>
      </c>
      <c r="D124" s="99">
        <v>10993020</v>
      </c>
      <c r="E124" s="99"/>
      <c r="F124" s="99"/>
      <c r="G124" s="99"/>
      <c r="H124" s="86">
        <f aca="true" t="shared" si="30" ref="H124:H132">SUM(I124,L124)</f>
        <v>0</v>
      </c>
      <c r="I124" s="99"/>
      <c r="J124" s="99"/>
      <c r="K124" s="99"/>
      <c r="L124" s="99"/>
      <c r="M124" s="99"/>
      <c r="N124" s="100">
        <f t="shared" si="24"/>
        <v>10993020</v>
      </c>
      <c r="O124" s="79">
        <f t="shared" si="18"/>
        <v>10993020</v>
      </c>
    </row>
    <row r="125" spans="1:15" ht="47.25">
      <c r="A125" s="60" t="s">
        <v>32</v>
      </c>
      <c r="B125" s="67" t="s">
        <v>106</v>
      </c>
      <c r="C125" s="107">
        <f t="shared" si="29"/>
        <v>3259170</v>
      </c>
      <c r="D125" s="99">
        <v>3259170</v>
      </c>
      <c r="E125" s="99"/>
      <c r="F125" s="99"/>
      <c r="G125" s="99"/>
      <c r="H125" s="86">
        <f t="shared" si="30"/>
        <v>0</v>
      </c>
      <c r="I125" s="99"/>
      <c r="J125" s="99"/>
      <c r="K125" s="99"/>
      <c r="L125" s="99"/>
      <c r="M125" s="99"/>
      <c r="N125" s="100">
        <f t="shared" si="24"/>
        <v>3259170</v>
      </c>
      <c r="O125" s="79">
        <f t="shared" si="18"/>
        <v>3259170</v>
      </c>
    </row>
    <row r="126" spans="1:15" ht="16.5">
      <c r="A126" s="60" t="s">
        <v>33</v>
      </c>
      <c r="B126" s="67" t="s">
        <v>107</v>
      </c>
      <c r="C126" s="107">
        <f t="shared" si="29"/>
        <v>8339760</v>
      </c>
      <c r="D126" s="99">
        <v>8039760</v>
      </c>
      <c r="E126" s="99">
        <v>5169020</v>
      </c>
      <c r="F126" s="99">
        <v>540210</v>
      </c>
      <c r="G126" s="99">
        <v>300000</v>
      </c>
      <c r="H126" s="86">
        <f t="shared" si="30"/>
        <v>191800</v>
      </c>
      <c r="I126" s="99">
        <v>153591</v>
      </c>
      <c r="J126" s="99">
        <v>36826</v>
      </c>
      <c r="K126" s="99">
        <v>32100</v>
      </c>
      <c r="L126" s="99">
        <v>38209</v>
      </c>
      <c r="M126" s="99"/>
      <c r="N126" s="100">
        <f t="shared" si="24"/>
        <v>8531560</v>
      </c>
      <c r="O126" s="79">
        <f t="shared" si="18"/>
        <v>8531560</v>
      </c>
    </row>
    <row r="127" spans="1:15" ht="16.5">
      <c r="A127" s="60" t="s">
        <v>34</v>
      </c>
      <c r="B127" s="67" t="s">
        <v>108</v>
      </c>
      <c r="C127" s="107">
        <f t="shared" si="29"/>
        <v>3700570</v>
      </c>
      <c r="D127" s="99">
        <v>3700570</v>
      </c>
      <c r="E127" s="99">
        <v>1946690</v>
      </c>
      <c r="F127" s="99">
        <v>275280</v>
      </c>
      <c r="G127" s="99"/>
      <c r="H127" s="86">
        <f t="shared" si="30"/>
        <v>265000</v>
      </c>
      <c r="I127" s="99">
        <v>235000</v>
      </c>
      <c r="J127" s="99">
        <v>20000</v>
      </c>
      <c r="K127" s="99">
        <v>60000</v>
      </c>
      <c r="L127" s="99">
        <v>30000</v>
      </c>
      <c r="M127" s="99"/>
      <c r="N127" s="100">
        <f t="shared" si="24"/>
        <v>3965570</v>
      </c>
      <c r="O127" s="79">
        <f t="shared" si="18"/>
        <v>3965570</v>
      </c>
    </row>
    <row r="128" spans="1:15" ht="16.5">
      <c r="A128" s="60" t="s">
        <v>35</v>
      </c>
      <c r="B128" s="67" t="s">
        <v>109</v>
      </c>
      <c r="C128" s="107">
        <f t="shared" si="29"/>
        <v>4297010</v>
      </c>
      <c r="D128" s="99">
        <v>4297010</v>
      </c>
      <c r="E128" s="99">
        <v>2519850</v>
      </c>
      <c r="F128" s="99">
        <v>398940</v>
      </c>
      <c r="G128" s="99"/>
      <c r="H128" s="86">
        <f t="shared" si="30"/>
        <v>358500</v>
      </c>
      <c r="I128" s="99">
        <v>340500</v>
      </c>
      <c r="J128" s="99">
        <v>7000</v>
      </c>
      <c r="K128" s="99">
        <v>2800</v>
      </c>
      <c r="L128" s="99">
        <v>18000</v>
      </c>
      <c r="M128" s="99"/>
      <c r="N128" s="100">
        <f t="shared" si="24"/>
        <v>4655510</v>
      </c>
      <c r="O128" s="79">
        <f t="shared" si="18"/>
        <v>4655510</v>
      </c>
    </row>
    <row r="129" spans="1:15" ht="33" customHeight="1">
      <c r="A129" s="60" t="s">
        <v>36</v>
      </c>
      <c r="B129" s="67" t="s">
        <v>110</v>
      </c>
      <c r="C129" s="107">
        <f t="shared" si="29"/>
        <v>843680</v>
      </c>
      <c r="D129" s="99">
        <v>843680</v>
      </c>
      <c r="E129" s="99">
        <v>482620</v>
      </c>
      <c r="F129" s="99">
        <v>18390</v>
      </c>
      <c r="G129" s="99"/>
      <c r="H129" s="86">
        <f t="shared" si="30"/>
        <v>5000</v>
      </c>
      <c r="I129" s="99">
        <v>5000</v>
      </c>
      <c r="J129" s="99"/>
      <c r="K129" s="99"/>
      <c r="L129" s="99"/>
      <c r="M129" s="99"/>
      <c r="N129" s="100">
        <f t="shared" si="24"/>
        <v>848680</v>
      </c>
      <c r="O129" s="79">
        <f t="shared" si="18"/>
        <v>848680</v>
      </c>
    </row>
    <row r="130" spans="1:15" ht="31.5">
      <c r="A130" s="60" t="s">
        <v>37</v>
      </c>
      <c r="B130" s="67" t="s">
        <v>185</v>
      </c>
      <c r="C130" s="107">
        <f t="shared" si="29"/>
        <v>1115290</v>
      </c>
      <c r="D130" s="99">
        <f>D131+D132+D133+D134</f>
        <v>1115290</v>
      </c>
      <c r="E130" s="99">
        <f>E131+E132+E133+E134</f>
        <v>262000</v>
      </c>
      <c r="F130" s="99">
        <f>F131+F132+F133+F134</f>
        <v>84300</v>
      </c>
      <c r="G130" s="99">
        <f>G131+G132+G133+G134</f>
        <v>0</v>
      </c>
      <c r="H130" s="94">
        <f>H131+H132+H133+H134</f>
        <v>0</v>
      </c>
      <c r="I130" s="99"/>
      <c r="J130" s="99"/>
      <c r="K130" s="99"/>
      <c r="L130" s="99"/>
      <c r="M130" s="99"/>
      <c r="N130" s="100">
        <f t="shared" si="24"/>
        <v>1115290</v>
      </c>
      <c r="O130" s="79">
        <f t="shared" si="18"/>
        <v>1115290</v>
      </c>
    </row>
    <row r="131" spans="1:15" ht="31.5">
      <c r="A131" s="60" t="s">
        <v>225</v>
      </c>
      <c r="B131" s="67" t="s">
        <v>137</v>
      </c>
      <c r="C131" s="92">
        <f>SUM(D131,G131)</f>
        <v>265000</v>
      </c>
      <c r="D131" s="109">
        <v>265000</v>
      </c>
      <c r="E131" s="109">
        <v>126000</v>
      </c>
      <c r="F131" s="109">
        <v>42150</v>
      </c>
      <c r="G131" s="109"/>
      <c r="H131" s="108">
        <f t="shared" si="30"/>
        <v>0</v>
      </c>
      <c r="I131" s="109"/>
      <c r="J131" s="109"/>
      <c r="K131" s="109"/>
      <c r="L131" s="109"/>
      <c r="M131" s="109"/>
      <c r="N131" s="100">
        <f t="shared" si="24"/>
        <v>265000</v>
      </c>
      <c r="O131" s="79">
        <f t="shared" si="18"/>
        <v>265000</v>
      </c>
    </row>
    <row r="132" spans="1:15" ht="31.5">
      <c r="A132" s="60"/>
      <c r="B132" s="67" t="s">
        <v>138</v>
      </c>
      <c r="C132" s="92">
        <f t="shared" si="29"/>
        <v>242000</v>
      </c>
      <c r="D132" s="109">
        <v>242000</v>
      </c>
      <c r="E132" s="109">
        <v>103000</v>
      </c>
      <c r="F132" s="109">
        <v>42150</v>
      </c>
      <c r="G132" s="109"/>
      <c r="H132" s="108">
        <f t="shared" si="30"/>
        <v>0</v>
      </c>
      <c r="I132" s="109"/>
      <c r="J132" s="109"/>
      <c r="K132" s="109"/>
      <c r="L132" s="109"/>
      <c r="M132" s="109"/>
      <c r="N132" s="100">
        <f t="shared" si="24"/>
        <v>242000</v>
      </c>
      <c r="O132" s="79">
        <f t="shared" si="18"/>
        <v>242000</v>
      </c>
    </row>
    <row r="133" spans="1:15" ht="16.5">
      <c r="A133" s="60"/>
      <c r="B133" s="67" t="s">
        <v>154</v>
      </c>
      <c r="C133" s="92">
        <f t="shared" si="29"/>
        <v>555290</v>
      </c>
      <c r="D133" s="109">
        <f>755290-200000</f>
        <v>555290</v>
      </c>
      <c r="E133" s="109">
        <v>33000</v>
      </c>
      <c r="F133" s="109"/>
      <c r="G133" s="109"/>
      <c r="H133" s="108"/>
      <c r="I133" s="109"/>
      <c r="J133" s="109"/>
      <c r="K133" s="109"/>
      <c r="L133" s="109"/>
      <c r="M133" s="109"/>
      <c r="N133" s="100">
        <f t="shared" si="24"/>
        <v>555290</v>
      </c>
      <c r="O133" s="79">
        <f t="shared" si="18"/>
        <v>555290</v>
      </c>
    </row>
    <row r="134" spans="1:15" ht="47.25">
      <c r="A134" s="60"/>
      <c r="B134" s="67" t="s">
        <v>258</v>
      </c>
      <c r="C134" s="92">
        <f t="shared" si="29"/>
        <v>53000</v>
      </c>
      <c r="D134" s="109">
        <v>53000</v>
      </c>
      <c r="E134" s="109"/>
      <c r="F134" s="109"/>
      <c r="G134" s="109"/>
      <c r="H134" s="108"/>
      <c r="I134" s="109"/>
      <c r="J134" s="109"/>
      <c r="K134" s="109"/>
      <c r="L134" s="109"/>
      <c r="M134" s="109"/>
      <c r="N134" s="100">
        <f t="shared" si="24"/>
        <v>53000</v>
      </c>
      <c r="O134" s="79">
        <f t="shared" si="18"/>
        <v>53000</v>
      </c>
    </row>
    <row r="135" spans="1:15" s="47" customFormat="1" ht="47.25">
      <c r="A135" s="72" t="s">
        <v>152</v>
      </c>
      <c r="B135" s="49" t="s">
        <v>256</v>
      </c>
      <c r="C135" s="89">
        <f>SUM(D135+G135)</f>
        <v>10131802</v>
      </c>
      <c r="D135" s="90">
        <f>SUM(D136:D145)</f>
        <v>9851802</v>
      </c>
      <c r="E135" s="90">
        <f>SUM(E136:E145)</f>
        <v>1970000</v>
      </c>
      <c r="F135" s="90">
        <f>SUM(F136:F145)</f>
        <v>133000</v>
      </c>
      <c r="G135" s="90">
        <f>SUM(G136:G145)</f>
        <v>280000</v>
      </c>
      <c r="H135" s="90">
        <f>I135+L135</f>
        <v>17000</v>
      </c>
      <c r="I135" s="90">
        <f>SUM(I136:I145)</f>
        <v>17000</v>
      </c>
      <c r="J135" s="90">
        <f>SUM(J136:J145)</f>
        <v>0</v>
      </c>
      <c r="K135" s="90">
        <f>SUM(K136:K145)</f>
        <v>7000</v>
      </c>
      <c r="L135" s="90">
        <f>SUM(L136:L145)</f>
        <v>0</v>
      </c>
      <c r="M135" s="90">
        <f>SUM(M136:M145)</f>
        <v>0</v>
      </c>
      <c r="N135" s="91">
        <f>C135+H135</f>
        <v>10148802</v>
      </c>
      <c r="O135" s="79">
        <f t="shared" si="18"/>
        <v>10148802</v>
      </c>
    </row>
    <row r="136" spans="1:15" s="10" customFormat="1" ht="31.5">
      <c r="A136" s="60" t="s">
        <v>41</v>
      </c>
      <c r="B136" s="67" t="s">
        <v>112</v>
      </c>
      <c r="C136" s="107">
        <f aca="true" t="shared" si="31" ref="C136:C145">SUM(D136,G136)</f>
        <v>2336162</v>
      </c>
      <c r="D136" s="99">
        <f>2513820-200000+22342</f>
        <v>2336162</v>
      </c>
      <c r="E136" s="99"/>
      <c r="F136" s="99"/>
      <c r="G136" s="99"/>
      <c r="H136" s="86">
        <f aca="true" t="shared" si="32" ref="H136:H145">SUM(I136,L136)</f>
        <v>0</v>
      </c>
      <c r="I136" s="99"/>
      <c r="J136" s="99"/>
      <c r="K136" s="99"/>
      <c r="L136" s="99"/>
      <c r="M136" s="99"/>
      <c r="N136" s="100">
        <f t="shared" si="24"/>
        <v>2336162</v>
      </c>
      <c r="O136" s="79">
        <f aca="true" t="shared" si="33" ref="O136:O184">C136+H136</f>
        <v>2336162</v>
      </c>
    </row>
    <row r="137" spans="1:15" s="10" customFormat="1" ht="47.25">
      <c r="A137" s="60" t="s">
        <v>42</v>
      </c>
      <c r="B137" s="67" t="s">
        <v>113</v>
      </c>
      <c r="C137" s="107">
        <f t="shared" si="31"/>
        <v>1999300</v>
      </c>
      <c r="D137" s="99">
        <v>1719300</v>
      </c>
      <c r="E137" s="99">
        <v>1005200</v>
      </c>
      <c r="F137" s="99">
        <v>109400</v>
      </c>
      <c r="G137" s="99">
        <v>280000</v>
      </c>
      <c r="H137" s="86">
        <f t="shared" si="32"/>
        <v>17000</v>
      </c>
      <c r="I137" s="99">
        <v>17000</v>
      </c>
      <c r="J137" s="99"/>
      <c r="K137" s="99">
        <v>7000</v>
      </c>
      <c r="L137" s="99"/>
      <c r="M137" s="99"/>
      <c r="N137" s="100">
        <f t="shared" si="24"/>
        <v>2016300</v>
      </c>
      <c r="O137" s="79">
        <f t="shared" si="33"/>
        <v>2016300</v>
      </c>
    </row>
    <row r="138" spans="1:15" s="10" customFormat="1" ht="47.25">
      <c r="A138" s="60" t="s">
        <v>43</v>
      </c>
      <c r="B138" s="67" t="s">
        <v>114</v>
      </c>
      <c r="C138" s="107">
        <f t="shared" si="31"/>
        <v>550200</v>
      </c>
      <c r="D138" s="99">
        <v>550200</v>
      </c>
      <c r="E138" s="99"/>
      <c r="F138" s="99"/>
      <c r="G138" s="99"/>
      <c r="H138" s="86">
        <f t="shared" si="32"/>
        <v>0</v>
      </c>
      <c r="I138" s="99"/>
      <c r="J138" s="99"/>
      <c r="K138" s="99"/>
      <c r="L138" s="99"/>
      <c r="M138" s="99"/>
      <c r="N138" s="100">
        <f t="shared" si="24"/>
        <v>550200</v>
      </c>
      <c r="O138" s="79">
        <f t="shared" si="33"/>
        <v>550200</v>
      </c>
    </row>
    <row r="139" spans="1:15" s="10" customFormat="1" ht="64.5" customHeight="1">
      <c r="A139" s="60" t="s">
        <v>141</v>
      </c>
      <c r="B139" s="67" t="s">
        <v>226</v>
      </c>
      <c r="C139" s="107">
        <f t="shared" si="31"/>
        <v>577700</v>
      </c>
      <c r="D139" s="99">
        <v>577700</v>
      </c>
      <c r="E139" s="99">
        <v>227400</v>
      </c>
      <c r="F139" s="99">
        <v>11100</v>
      </c>
      <c r="G139" s="99"/>
      <c r="H139" s="86">
        <f t="shared" si="32"/>
        <v>0</v>
      </c>
      <c r="I139" s="99"/>
      <c r="J139" s="99"/>
      <c r="K139" s="99"/>
      <c r="L139" s="99"/>
      <c r="M139" s="99"/>
      <c r="N139" s="100">
        <f t="shared" si="24"/>
        <v>577700</v>
      </c>
      <c r="O139" s="79">
        <f t="shared" si="33"/>
        <v>577700</v>
      </c>
    </row>
    <row r="140" spans="1:15" s="10" customFormat="1" ht="48" customHeight="1">
      <c r="A140" s="60" t="s">
        <v>44</v>
      </c>
      <c r="B140" s="67" t="s">
        <v>115</v>
      </c>
      <c r="C140" s="107">
        <f t="shared" si="31"/>
        <v>1698560</v>
      </c>
      <c r="D140" s="99">
        <f>1698300+260</f>
        <v>1698560</v>
      </c>
      <c r="E140" s="99">
        <v>737400</v>
      </c>
      <c r="F140" s="99">
        <v>12500</v>
      </c>
      <c r="G140" s="99"/>
      <c r="H140" s="86">
        <f t="shared" si="32"/>
        <v>0</v>
      </c>
      <c r="I140" s="99"/>
      <c r="J140" s="99"/>
      <c r="K140" s="99"/>
      <c r="L140" s="99"/>
      <c r="M140" s="99"/>
      <c r="N140" s="100">
        <f t="shared" si="24"/>
        <v>1698560</v>
      </c>
      <c r="O140" s="79">
        <f t="shared" si="33"/>
        <v>1698560</v>
      </c>
    </row>
    <row r="141" spans="1:15" s="10" customFormat="1" ht="99" customHeight="1">
      <c r="A141" s="60" t="s">
        <v>132</v>
      </c>
      <c r="B141" s="147" t="s">
        <v>184</v>
      </c>
      <c r="C141" s="107">
        <f t="shared" si="31"/>
        <v>1046480</v>
      </c>
      <c r="D141" s="99">
        <v>1046480</v>
      </c>
      <c r="E141" s="99"/>
      <c r="F141" s="99"/>
      <c r="G141" s="99"/>
      <c r="H141" s="86">
        <f t="shared" si="32"/>
        <v>0</v>
      </c>
      <c r="I141" s="99"/>
      <c r="J141" s="99"/>
      <c r="K141" s="99"/>
      <c r="L141" s="99"/>
      <c r="M141" s="99"/>
      <c r="N141" s="100">
        <f t="shared" si="24"/>
        <v>1046480</v>
      </c>
      <c r="O141" s="79">
        <f t="shared" si="33"/>
        <v>1046480</v>
      </c>
    </row>
    <row r="142" spans="1:15" s="10" customFormat="1" ht="78.75">
      <c r="A142" s="60" t="s">
        <v>219</v>
      </c>
      <c r="B142" s="147" t="s">
        <v>254</v>
      </c>
      <c r="C142" s="107">
        <f t="shared" si="31"/>
        <v>1373100</v>
      </c>
      <c r="D142" s="99">
        <f>1343100+30000</f>
        <v>1373100</v>
      </c>
      <c r="E142" s="99"/>
      <c r="F142" s="99"/>
      <c r="G142" s="99"/>
      <c r="H142" s="86"/>
      <c r="I142" s="99"/>
      <c r="J142" s="99"/>
      <c r="K142" s="99"/>
      <c r="L142" s="99"/>
      <c r="M142" s="99"/>
      <c r="N142" s="100">
        <f t="shared" si="24"/>
        <v>1373100</v>
      </c>
      <c r="O142" s="79">
        <f t="shared" si="33"/>
        <v>1373100</v>
      </c>
    </row>
    <row r="143" spans="1:15" s="10" customFormat="1" ht="78.75">
      <c r="A143" s="60" t="s">
        <v>160</v>
      </c>
      <c r="B143" s="67" t="s">
        <v>261</v>
      </c>
      <c r="C143" s="107">
        <f t="shared" si="31"/>
        <v>16680</v>
      </c>
      <c r="D143" s="99">
        <v>16680</v>
      </c>
      <c r="E143" s="99"/>
      <c r="F143" s="99"/>
      <c r="G143" s="99"/>
      <c r="H143" s="86">
        <f t="shared" si="32"/>
        <v>0</v>
      </c>
      <c r="I143" s="99"/>
      <c r="J143" s="99"/>
      <c r="K143" s="99"/>
      <c r="L143" s="99"/>
      <c r="M143" s="99"/>
      <c r="N143" s="100">
        <f t="shared" si="24"/>
        <v>16680</v>
      </c>
      <c r="O143" s="79">
        <f t="shared" si="33"/>
        <v>16680</v>
      </c>
    </row>
    <row r="144" spans="1:15" s="10" customFormat="1" ht="94.5">
      <c r="A144" s="60" t="s">
        <v>72</v>
      </c>
      <c r="B144" s="67" t="s">
        <v>161</v>
      </c>
      <c r="C144" s="107">
        <f t="shared" si="31"/>
        <v>425580</v>
      </c>
      <c r="D144" s="99">
        <v>425580</v>
      </c>
      <c r="E144" s="99"/>
      <c r="F144" s="99"/>
      <c r="G144" s="99"/>
      <c r="H144" s="86">
        <f t="shared" si="32"/>
        <v>0</v>
      </c>
      <c r="I144" s="99"/>
      <c r="J144" s="99"/>
      <c r="K144" s="99"/>
      <c r="L144" s="99"/>
      <c r="M144" s="99"/>
      <c r="N144" s="100">
        <f t="shared" si="24"/>
        <v>425580</v>
      </c>
      <c r="O144" s="79">
        <f t="shared" si="33"/>
        <v>425580</v>
      </c>
    </row>
    <row r="145" spans="1:15" s="10" customFormat="1" ht="82.5" customHeight="1">
      <c r="A145" s="60" t="s">
        <v>162</v>
      </c>
      <c r="B145" s="67" t="s">
        <v>227</v>
      </c>
      <c r="C145" s="107">
        <f t="shared" si="31"/>
        <v>108040</v>
      </c>
      <c r="D145" s="99">
        <v>108040</v>
      </c>
      <c r="E145" s="99"/>
      <c r="F145" s="99"/>
      <c r="G145" s="99"/>
      <c r="H145" s="86">
        <f t="shared" si="32"/>
        <v>0</v>
      </c>
      <c r="I145" s="99"/>
      <c r="J145" s="99"/>
      <c r="K145" s="99"/>
      <c r="L145" s="99"/>
      <c r="M145" s="99"/>
      <c r="N145" s="100">
        <f t="shared" si="24"/>
        <v>108040</v>
      </c>
      <c r="O145" s="79">
        <f t="shared" si="33"/>
        <v>108040</v>
      </c>
    </row>
    <row r="146" spans="1:15" s="53" customFormat="1" ht="47.25">
      <c r="A146" s="149" t="s">
        <v>158</v>
      </c>
      <c r="B146" s="48" t="s">
        <v>269</v>
      </c>
      <c r="C146" s="111">
        <f>D146+G146</f>
        <v>0</v>
      </c>
      <c r="D146" s="112">
        <f aca="true" t="shared" si="34" ref="D146:M146">D147+D149+D150</f>
        <v>0</v>
      </c>
      <c r="E146" s="112">
        <f t="shared" si="34"/>
        <v>0</v>
      </c>
      <c r="F146" s="112">
        <f t="shared" si="34"/>
        <v>0</v>
      </c>
      <c r="G146" s="112">
        <f t="shared" si="34"/>
        <v>0</v>
      </c>
      <c r="H146" s="112">
        <f t="shared" si="34"/>
        <v>55864438</v>
      </c>
      <c r="I146" s="112">
        <f t="shared" si="34"/>
        <v>12753000</v>
      </c>
      <c r="J146" s="112">
        <f t="shared" si="34"/>
        <v>0</v>
      </c>
      <c r="K146" s="112">
        <f t="shared" si="34"/>
        <v>0</v>
      </c>
      <c r="L146" s="112">
        <f t="shared" si="34"/>
        <v>43111438</v>
      </c>
      <c r="M146" s="112">
        <f t="shared" si="34"/>
        <v>35237838</v>
      </c>
      <c r="N146" s="104">
        <f t="shared" si="24"/>
        <v>55864438</v>
      </c>
      <c r="O146" s="79">
        <f t="shared" si="33"/>
        <v>55864438</v>
      </c>
    </row>
    <row r="147" spans="1:15" s="53" customFormat="1" ht="16.5">
      <c r="A147" s="148" t="s">
        <v>286</v>
      </c>
      <c r="B147" s="67" t="s">
        <v>117</v>
      </c>
      <c r="C147" s="107"/>
      <c r="D147" s="113"/>
      <c r="E147" s="113"/>
      <c r="F147" s="113"/>
      <c r="G147" s="113"/>
      <c r="H147" s="114">
        <f>I147+L147</f>
        <v>35237838</v>
      </c>
      <c r="I147" s="113"/>
      <c r="J147" s="113"/>
      <c r="K147" s="113"/>
      <c r="L147" s="105">
        <f>34237838+L148</f>
        <v>35237838</v>
      </c>
      <c r="M147" s="105">
        <f>34237838+M148</f>
        <v>35237838</v>
      </c>
      <c r="N147" s="87">
        <f t="shared" si="24"/>
        <v>35237838</v>
      </c>
      <c r="O147" s="79">
        <f t="shared" si="33"/>
        <v>35237838</v>
      </c>
    </row>
    <row r="148" spans="1:15" s="53" customFormat="1" ht="31.5">
      <c r="A148" s="148" t="s">
        <v>225</v>
      </c>
      <c r="B148" s="197" t="s">
        <v>307</v>
      </c>
      <c r="C148" s="107"/>
      <c r="D148" s="113"/>
      <c r="E148" s="113"/>
      <c r="F148" s="113"/>
      <c r="G148" s="113"/>
      <c r="H148" s="114">
        <f>I148+L148</f>
        <v>1000000</v>
      </c>
      <c r="I148" s="113"/>
      <c r="J148" s="113"/>
      <c r="K148" s="113"/>
      <c r="L148" s="105">
        <v>1000000</v>
      </c>
      <c r="M148" s="105">
        <v>1000000</v>
      </c>
      <c r="N148" s="87">
        <f t="shared" si="24"/>
        <v>1000000</v>
      </c>
      <c r="O148" s="79">
        <f t="shared" si="33"/>
        <v>1000000</v>
      </c>
    </row>
    <row r="149" spans="1:15" s="53" customFormat="1" ht="63">
      <c r="A149" s="60">
        <v>170703</v>
      </c>
      <c r="B149" s="67" t="s">
        <v>263</v>
      </c>
      <c r="C149" s="107">
        <f>D149+G149</f>
        <v>0</v>
      </c>
      <c r="D149" s="113"/>
      <c r="E149" s="113"/>
      <c r="F149" s="113"/>
      <c r="G149" s="113"/>
      <c r="H149" s="114">
        <f>I149+L149</f>
        <v>18517600</v>
      </c>
      <c r="I149" s="105">
        <v>12753000</v>
      </c>
      <c r="J149" s="113"/>
      <c r="K149" s="113"/>
      <c r="L149" s="105">
        <v>5764600</v>
      </c>
      <c r="M149" s="113"/>
      <c r="N149" s="87">
        <f t="shared" si="24"/>
        <v>18517600</v>
      </c>
      <c r="O149" s="79">
        <f t="shared" si="33"/>
        <v>18517600</v>
      </c>
    </row>
    <row r="150" spans="1:15" s="53" customFormat="1" ht="36" customHeight="1">
      <c r="A150" s="60">
        <v>240601</v>
      </c>
      <c r="B150" s="67" t="s">
        <v>5</v>
      </c>
      <c r="C150" s="107"/>
      <c r="D150" s="113"/>
      <c r="E150" s="113"/>
      <c r="F150" s="113"/>
      <c r="G150" s="113"/>
      <c r="H150" s="114">
        <f>I150+L150</f>
        <v>2109000</v>
      </c>
      <c r="I150" s="105"/>
      <c r="J150" s="113"/>
      <c r="K150" s="113"/>
      <c r="L150" s="105">
        <v>2109000</v>
      </c>
      <c r="M150" s="113"/>
      <c r="N150" s="87">
        <f t="shared" si="24"/>
        <v>2109000</v>
      </c>
      <c r="O150" s="79">
        <f t="shared" si="33"/>
        <v>2109000</v>
      </c>
    </row>
    <row r="151" spans="1:15" s="53" customFormat="1" ht="51" customHeight="1">
      <c r="A151" s="149" t="s">
        <v>155</v>
      </c>
      <c r="B151" s="49" t="s">
        <v>165</v>
      </c>
      <c r="C151" s="89">
        <f>D151+G151</f>
        <v>250000</v>
      </c>
      <c r="D151" s="90">
        <f>D154+D155+D152</f>
        <v>250000</v>
      </c>
      <c r="E151" s="90">
        <f aca="true" t="shared" si="35" ref="E151:M151">E154+E155</f>
        <v>0</v>
      </c>
      <c r="F151" s="90">
        <f t="shared" si="35"/>
        <v>0</v>
      </c>
      <c r="G151" s="90">
        <f t="shared" si="35"/>
        <v>0</v>
      </c>
      <c r="H151" s="90">
        <f t="shared" si="35"/>
        <v>100000</v>
      </c>
      <c r="I151" s="90">
        <f t="shared" si="35"/>
        <v>15966</v>
      </c>
      <c r="J151" s="90">
        <f t="shared" si="35"/>
        <v>0</v>
      </c>
      <c r="K151" s="90">
        <f t="shared" si="35"/>
        <v>0</v>
      </c>
      <c r="L151" s="90">
        <f t="shared" si="35"/>
        <v>84034</v>
      </c>
      <c r="M151" s="90">
        <f t="shared" si="35"/>
        <v>0</v>
      </c>
      <c r="N151" s="91">
        <f>SUM(H151,C151)</f>
        <v>350000</v>
      </c>
      <c r="O151" s="79">
        <f t="shared" si="33"/>
        <v>350000</v>
      </c>
    </row>
    <row r="152" spans="1:26" s="53" customFormat="1" ht="63.75" customHeight="1">
      <c r="A152" s="60">
        <v>160903</v>
      </c>
      <c r="B152" s="67" t="s">
        <v>320</v>
      </c>
      <c r="C152" s="107">
        <f>SUM(D152,G152)</f>
        <v>100000</v>
      </c>
      <c r="D152" s="95">
        <f>D153</f>
        <v>100000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87">
        <f>SUM(H152,C152)</f>
        <v>100000</v>
      </c>
      <c r="O152" s="79">
        <f t="shared" si="33"/>
        <v>100000</v>
      </c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s="53" customFormat="1" ht="66" customHeight="1">
      <c r="A153" s="190" t="s">
        <v>225</v>
      </c>
      <c r="B153" s="67" t="s">
        <v>321</v>
      </c>
      <c r="C153" s="107">
        <f>SUM(D153,G153)</f>
        <v>100000</v>
      </c>
      <c r="D153" s="95">
        <v>100000</v>
      </c>
      <c r="E153" s="114"/>
      <c r="F153" s="114"/>
      <c r="G153" s="114"/>
      <c r="H153" s="114"/>
      <c r="I153" s="114"/>
      <c r="J153" s="114"/>
      <c r="K153" s="114"/>
      <c r="L153" s="114"/>
      <c r="M153" s="114"/>
      <c r="N153" s="87">
        <f>SUM(H153,C153)</f>
        <v>100000</v>
      </c>
      <c r="O153" s="79">
        <f t="shared" si="33"/>
        <v>100000</v>
      </c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15" s="53" customFormat="1" ht="30" customHeight="1">
      <c r="A154" s="60" t="s">
        <v>167</v>
      </c>
      <c r="B154" s="73" t="s">
        <v>272</v>
      </c>
      <c r="C154" s="107">
        <f>SUM(D154,G154)</f>
        <v>0</v>
      </c>
      <c r="D154" s="110"/>
      <c r="E154" s="110"/>
      <c r="F154" s="110"/>
      <c r="G154" s="110"/>
      <c r="H154" s="86">
        <f>SUM(I154,L154)</f>
        <v>100000</v>
      </c>
      <c r="I154" s="110">
        <v>15966</v>
      </c>
      <c r="J154" s="110"/>
      <c r="K154" s="110"/>
      <c r="L154" s="110">
        <v>84034</v>
      </c>
      <c r="M154" s="110"/>
      <c r="N154" s="87">
        <f>SUM(H154,C154)</f>
        <v>100000</v>
      </c>
      <c r="O154" s="79">
        <f t="shared" si="33"/>
        <v>100000</v>
      </c>
    </row>
    <row r="155" spans="1:15" s="53" customFormat="1" ht="78.75" customHeight="1">
      <c r="A155" s="60" t="s">
        <v>173</v>
      </c>
      <c r="B155" s="67" t="s">
        <v>262</v>
      </c>
      <c r="C155" s="107">
        <f>SUM(D155,G155)</f>
        <v>150000</v>
      </c>
      <c r="D155" s="99">
        <v>150000</v>
      </c>
      <c r="E155" s="99"/>
      <c r="F155" s="99"/>
      <c r="G155" s="99"/>
      <c r="H155" s="108"/>
      <c r="I155" s="99"/>
      <c r="J155" s="99"/>
      <c r="K155" s="99"/>
      <c r="L155" s="99"/>
      <c r="M155" s="99"/>
      <c r="N155" s="100">
        <f>C155+H155</f>
        <v>150000</v>
      </c>
      <c r="O155" s="79">
        <f t="shared" si="33"/>
        <v>150000</v>
      </c>
    </row>
    <row r="156" spans="1:15" s="53" customFormat="1" ht="30" customHeight="1">
      <c r="A156" s="72" t="s">
        <v>153</v>
      </c>
      <c r="B156" s="49" t="s">
        <v>93</v>
      </c>
      <c r="C156" s="132">
        <f>SUM(G156,D156)</f>
        <v>16922000</v>
      </c>
      <c r="D156" s="133"/>
      <c r="E156" s="133"/>
      <c r="F156" s="133"/>
      <c r="G156" s="135">
        <f>G157</f>
        <v>16922000</v>
      </c>
      <c r="H156" s="134"/>
      <c r="I156" s="133"/>
      <c r="J156" s="133"/>
      <c r="K156" s="133"/>
      <c r="L156" s="133"/>
      <c r="M156" s="133"/>
      <c r="N156" s="104">
        <f>C156+H156</f>
        <v>16922000</v>
      </c>
      <c r="O156" s="79">
        <f t="shared" si="33"/>
        <v>16922000</v>
      </c>
    </row>
    <row r="157" spans="1:15" s="53" customFormat="1" ht="66.75" customHeight="1">
      <c r="A157" s="148" t="s">
        <v>245</v>
      </c>
      <c r="B157" s="152" t="s">
        <v>246</v>
      </c>
      <c r="C157" s="92">
        <f>SUM(G157,D157)</f>
        <v>16922000</v>
      </c>
      <c r="D157" s="110"/>
      <c r="E157" s="110"/>
      <c r="F157" s="110"/>
      <c r="G157" s="110">
        <f>15922000+G158</f>
        <v>16922000</v>
      </c>
      <c r="H157" s="86"/>
      <c r="I157" s="110"/>
      <c r="J157" s="110"/>
      <c r="K157" s="110"/>
      <c r="L157" s="110"/>
      <c r="M157" s="110"/>
      <c r="N157" s="87">
        <f>C157+H157</f>
        <v>16922000</v>
      </c>
      <c r="O157" s="79">
        <f t="shared" si="33"/>
        <v>16922000</v>
      </c>
    </row>
    <row r="158" spans="1:15" s="53" customFormat="1" ht="37.5" customHeight="1">
      <c r="A158" s="148" t="s">
        <v>225</v>
      </c>
      <c r="B158" s="197" t="s">
        <v>307</v>
      </c>
      <c r="C158" s="92">
        <f>SUM(G158,D158)</f>
        <v>1000000</v>
      </c>
      <c r="D158" s="110"/>
      <c r="E158" s="110"/>
      <c r="F158" s="110"/>
      <c r="G158" s="110">
        <v>1000000</v>
      </c>
      <c r="H158" s="86"/>
      <c r="I158" s="110"/>
      <c r="J158" s="110"/>
      <c r="K158" s="110"/>
      <c r="L158" s="110"/>
      <c r="M158" s="110"/>
      <c r="N158" s="87">
        <f>C158+H158</f>
        <v>1000000</v>
      </c>
      <c r="O158" s="79">
        <f t="shared" si="33"/>
        <v>1000000</v>
      </c>
    </row>
    <row r="159" spans="1:15" s="53" customFormat="1" ht="47.25">
      <c r="A159" s="149" t="s">
        <v>157</v>
      </c>
      <c r="B159" s="51" t="s">
        <v>230</v>
      </c>
      <c r="C159" s="111">
        <f>SUM(G159,D159)</f>
        <v>0</v>
      </c>
      <c r="D159" s="112">
        <f>D160+D161</f>
        <v>0</v>
      </c>
      <c r="E159" s="112">
        <f aca="true" t="shared" si="36" ref="E159:M159">E160+E161</f>
        <v>0</v>
      </c>
      <c r="F159" s="112">
        <f t="shared" si="36"/>
        <v>0</v>
      </c>
      <c r="G159" s="112">
        <f t="shared" si="36"/>
        <v>0</v>
      </c>
      <c r="H159" s="112">
        <f t="shared" si="36"/>
        <v>1002200</v>
      </c>
      <c r="I159" s="112">
        <f t="shared" si="36"/>
        <v>1002200</v>
      </c>
      <c r="J159" s="112">
        <f t="shared" si="36"/>
        <v>0</v>
      </c>
      <c r="K159" s="112">
        <f t="shared" si="36"/>
        <v>0</v>
      </c>
      <c r="L159" s="112">
        <f t="shared" si="36"/>
        <v>0</v>
      </c>
      <c r="M159" s="112">
        <f t="shared" si="36"/>
        <v>0</v>
      </c>
      <c r="N159" s="104">
        <f t="shared" si="24"/>
        <v>1002200</v>
      </c>
      <c r="O159" s="79">
        <f t="shared" si="33"/>
        <v>1002200</v>
      </c>
    </row>
    <row r="160" spans="1:15" ht="16.5">
      <c r="A160" s="60">
        <v>240602</v>
      </c>
      <c r="B160" s="67" t="s">
        <v>6</v>
      </c>
      <c r="C160" s="115"/>
      <c r="D160" s="97"/>
      <c r="E160" s="97"/>
      <c r="F160" s="97"/>
      <c r="G160" s="97"/>
      <c r="H160" s="108">
        <f>I160+L160</f>
        <v>400000</v>
      </c>
      <c r="I160" s="116">
        <v>400000</v>
      </c>
      <c r="J160" s="116"/>
      <c r="K160" s="116"/>
      <c r="L160" s="116"/>
      <c r="M160" s="116"/>
      <c r="N160" s="87">
        <f t="shared" si="24"/>
        <v>400000</v>
      </c>
      <c r="O160" s="79">
        <f t="shared" si="33"/>
        <v>400000</v>
      </c>
    </row>
    <row r="161" spans="1:15" ht="47.25">
      <c r="A161" s="60" t="s">
        <v>271</v>
      </c>
      <c r="B161" s="67" t="s">
        <v>270</v>
      </c>
      <c r="C161" s="115"/>
      <c r="D161" s="97"/>
      <c r="E161" s="97"/>
      <c r="F161" s="97"/>
      <c r="G161" s="97"/>
      <c r="H161" s="108">
        <f>I161+L161</f>
        <v>602200</v>
      </c>
      <c r="I161" s="116">
        <v>602200</v>
      </c>
      <c r="J161" s="116"/>
      <c r="K161" s="116"/>
      <c r="L161" s="116"/>
      <c r="M161" s="116"/>
      <c r="N161" s="87">
        <f t="shared" si="24"/>
        <v>602200</v>
      </c>
      <c r="O161" s="79">
        <f t="shared" si="33"/>
        <v>602200</v>
      </c>
    </row>
    <row r="162" spans="1:15" s="50" customFormat="1" ht="31.5">
      <c r="A162" s="72" t="s">
        <v>224</v>
      </c>
      <c r="B162" s="48" t="s">
        <v>123</v>
      </c>
      <c r="C162" s="89">
        <f>700000+1570000</f>
        <v>2270000</v>
      </c>
      <c r="D162" s="90"/>
      <c r="E162" s="90"/>
      <c r="F162" s="90"/>
      <c r="G162" s="90"/>
      <c r="H162" s="90">
        <f>I162+L162</f>
        <v>0</v>
      </c>
      <c r="I162" s="90"/>
      <c r="J162" s="90"/>
      <c r="K162" s="90"/>
      <c r="L162" s="90"/>
      <c r="M162" s="90"/>
      <c r="N162" s="91">
        <f t="shared" si="24"/>
        <v>2270000</v>
      </c>
      <c r="O162" s="79">
        <f t="shared" si="33"/>
        <v>2270000</v>
      </c>
    </row>
    <row r="163" spans="1:15" s="47" customFormat="1" ht="16.5">
      <c r="A163" s="75"/>
      <c r="B163" s="48" t="s">
        <v>45</v>
      </c>
      <c r="C163" s="89">
        <f>SUM(C164)</f>
        <v>0</v>
      </c>
      <c r="D163" s="90">
        <f aca="true" t="shared" si="37" ref="D163:M163">SUM(D164)</f>
        <v>0</v>
      </c>
      <c r="E163" s="90">
        <f t="shared" si="37"/>
        <v>0</v>
      </c>
      <c r="F163" s="90">
        <f t="shared" si="37"/>
        <v>0</v>
      </c>
      <c r="G163" s="90">
        <f t="shared" si="37"/>
        <v>0</v>
      </c>
      <c r="H163" s="90">
        <f>I163+M163</f>
        <v>-18560949</v>
      </c>
      <c r="I163" s="90">
        <f t="shared" si="37"/>
        <v>0</v>
      </c>
      <c r="J163" s="90">
        <f t="shared" si="37"/>
        <v>0</v>
      </c>
      <c r="K163" s="90">
        <f t="shared" si="37"/>
        <v>0</v>
      </c>
      <c r="L163" s="90">
        <f t="shared" si="37"/>
        <v>0</v>
      </c>
      <c r="M163" s="90">
        <f t="shared" si="37"/>
        <v>-18560949</v>
      </c>
      <c r="N163" s="91">
        <f t="shared" si="24"/>
        <v>-18560949</v>
      </c>
      <c r="O163" s="79">
        <f t="shared" si="33"/>
        <v>-18560949</v>
      </c>
    </row>
    <row r="164" spans="1:15" ht="17.25" customHeight="1">
      <c r="A164" s="60" t="s">
        <v>119</v>
      </c>
      <c r="B164" s="67" t="s">
        <v>50</v>
      </c>
      <c r="C164" s="115"/>
      <c r="D164" s="97"/>
      <c r="E164" s="97"/>
      <c r="F164" s="97"/>
      <c r="G164" s="97"/>
      <c r="H164" s="108">
        <f>M164</f>
        <v>-18560949</v>
      </c>
      <c r="I164" s="97"/>
      <c r="J164" s="97"/>
      <c r="K164" s="97"/>
      <c r="L164" s="97"/>
      <c r="M164" s="97">
        <v>-18560949</v>
      </c>
      <c r="N164" s="87">
        <f t="shared" si="24"/>
        <v>-18560949</v>
      </c>
      <c r="O164" s="79">
        <f t="shared" si="33"/>
        <v>-18560949</v>
      </c>
    </row>
    <row r="165" spans="1:15" s="47" customFormat="1" ht="16.5">
      <c r="A165" s="75"/>
      <c r="B165" s="48" t="s">
        <v>46</v>
      </c>
      <c r="C165" s="89">
        <f>SUM(C166)</f>
        <v>0</v>
      </c>
      <c r="D165" s="90">
        <f aca="true" t="shared" si="38" ref="D165:M165">SUM(D166)</f>
        <v>0</v>
      </c>
      <c r="E165" s="90">
        <f t="shared" si="38"/>
        <v>0</v>
      </c>
      <c r="F165" s="90">
        <f t="shared" si="38"/>
        <v>0</v>
      </c>
      <c r="G165" s="90">
        <f t="shared" si="38"/>
        <v>0</v>
      </c>
      <c r="H165" s="90">
        <f>I165+M165</f>
        <v>-4889</v>
      </c>
      <c r="I165" s="90">
        <f t="shared" si="38"/>
        <v>0</v>
      </c>
      <c r="J165" s="90">
        <f t="shared" si="38"/>
        <v>0</v>
      </c>
      <c r="K165" s="90">
        <f t="shared" si="38"/>
        <v>0</v>
      </c>
      <c r="L165" s="90">
        <f t="shared" si="38"/>
        <v>0</v>
      </c>
      <c r="M165" s="90">
        <f t="shared" si="38"/>
        <v>-4889</v>
      </c>
      <c r="N165" s="91">
        <f t="shared" si="24"/>
        <v>-4889</v>
      </c>
      <c r="O165" s="79">
        <f t="shared" si="33"/>
        <v>-4889</v>
      </c>
    </row>
    <row r="166" spans="1:15" ht="21" customHeight="1" thickBot="1">
      <c r="A166" s="60" t="s">
        <v>119</v>
      </c>
      <c r="B166" s="241" t="s">
        <v>50</v>
      </c>
      <c r="C166" s="236"/>
      <c r="D166" s="242"/>
      <c r="E166" s="242"/>
      <c r="F166" s="242"/>
      <c r="G166" s="242"/>
      <c r="H166" s="243">
        <f>I166+M166</f>
        <v>-4889</v>
      </c>
      <c r="I166" s="242"/>
      <c r="J166" s="242"/>
      <c r="K166" s="242"/>
      <c r="L166" s="242"/>
      <c r="M166" s="242">
        <v>-4889</v>
      </c>
      <c r="N166" s="244">
        <f t="shared" si="24"/>
        <v>-4889</v>
      </c>
      <c r="O166" s="79">
        <f t="shared" si="33"/>
        <v>-4889</v>
      </c>
    </row>
    <row r="167" spans="1:15" s="47" customFormat="1" ht="20.25" thickBot="1">
      <c r="A167" s="76"/>
      <c r="B167" s="246" t="s">
        <v>145</v>
      </c>
      <c r="C167" s="247">
        <f>C7+C15+C20+C24+C54+C82+C95+C114+C120+C123+C135+C146+C151+C156+C159+C162+C163+C165</f>
        <v>560020800</v>
      </c>
      <c r="D167" s="247">
        <f aca="true" t="shared" si="39" ref="D167:N167">D7+D15+D20+D24+D54+D82+D95+D114+D120+D123+D135+D146+D151+D156+D159+D162+D163+D165</f>
        <v>511804441</v>
      </c>
      <c r="E167" s="247">
        <f t="shared" si="39"/>
        <v>246904184</v>
      </c>
      <c r="F167" s="247">
        <f t="shared" si="39"/>
        <v>39027981</v>
      </c>
      <c r="G167" s="247">
        <f t="shared" si="39"/>
        <v>45946359</v>
      </c>
      <c r="H167" s="247">
        <f t="shared" si="39"/>
        <v>57555800</v>
      </c>
      <c r="I167" s="247">
        <f t="shared" si="39"/>
        <v>31747957</v>
      </c>
      <c r="J167" s="247">
        <f t="shared" si="39"/>
        <v>1197126</v>
      </c>
      <c r="K167" s="247">
        <f t="shared" si="39"/>
        <v>519150</v>
      </c>
      <c r="L167" s="247">
        <f t="shared" si="39"/>
        <v>44373681</v>
      </c>
      <c r="M167" s="247">
        <f t="shared" si="39"/>
        <v>16922000</v>
      </c>
      <c r="N167" s="247">
        <f t="shared" si="39"/>
        <v>617576600</v>
      </c>
      <c r="O167" s="79">
        <f t="shared" si="33"/>
        <v>617576600</v>
      </c>
    </row>
    <row r="168" spans="1:15" s="47" customFormat="1" ht="17.25" thickBot="1">
      <c r="A168" s="251"/>
      <c r="B168" s="246" t="s">
        <v>125</v>
      </c>
      <c r="C168" s="252">
        <f>C169+C171+C175+C177+C179</f>
        <v>945858300</v>
      </c>
      <c r="D168" s="252">
        <f aca="true" t="shared" si="40" ref="D168:N168">D169+D171+D175+D177+D179</f>
        <v>943407300</v>
      </c>
      <c r="E168" s="252">
        <f t="shared" si="40"/>
        <v>0</v>
      </c>
      <c r="F168" s="252">
        <f t="shared" si="40"/>
        <v>0</v>
      </c>
      <c r="G168" s="252">
        <f t="shared" si="40"/>
        <v>2451000</v>
      </c>
      <c r="H168" s="252">
        <f t="shared" si="40"/>
        <v>72163800</v>
      </c>
      <c r="I168" s="252">
        <f t="shared" si="40"/>
        <v>72163800</v>
      </c>
      <c r="J168" s="252">
        <f t="shared" si="40"/>
        <v>0</v>
      </c>
      <c r="K168" s="252">
        <f t="shared" si="40"/>
        <v>0</v>
      </c>
      <c r="L168" s="252">
        <f t="shared" si="40"/>
        <v>0</v>
      </c>
      <c r="M168" s="252">
        <f t="shared" si="40"/>
        <v>0</v>
      </c>
      <c r="N168" s="252">
        <f t="shared" si="40"/>
        <v>1018022100</v>
      </c>
      <c r="O168" s="79">
        <f t="shared" si="33"/>
        <v>1018022100</v>
      </c>
    </row>
    <row r="169" spans="1:15" s="47" customFormat="1" ht="16.5">
      <c r="A169" s="72" t="s">
        <v>146</v>
      </c>
      <c r="B169" s="248" t="s">
        <v>101</v>
      </c>
      <c r="C169" s="245">
        <f>D169+G169</f>
        <v>1377000</v>
      </c>
      <c r="D169" s="249">
        <f>D170</f>
        <v>6000</v>
      </c>
      <c r="E169" s="249">
        <f aca="true" t="shared" si="41" ref="E169:M169">E170</f>
        <v>0</v>
      </c>
      <c r="F169" s="249">
        <f t="shared" si="41"/>
        <v>0</v>
      </c>
      <c r="G169" s="249">
        <f t="shared" si="41"/>
        <v>1371000</v>
      </c>
      <c r="H169" s="249">
        <f t="shared" si="41"/>
        <v>0</v>
      </c>
      <c r="I169" s="249">
        <f t="shared" si="41"/>
        <v>0</v>
      </c>
      <c r="J169" s="249">
        <f t="shared" si="41"/>
        <v>0</v>
      </c>
      <c r="K169" s="249">
        <f t="shared" si="41"/>
        <v>0</v>
      </c>
      <c r="L169" s="249">
        <f t="shared" si="41"/>
        <v>0</v>
      </c>
      <c r="M169" s="249">
        <f t="shared" si="41"/>
        <v>0</v>
      </c>
      <c r="N169" s="250">
        <f>C169+H169</f>
        <v>1377000</v>
      </c>
      <c r="O169" s="79">
        <f t="shared" si="33"/>
        <v>1377000</v>
      </c>
    </row>
    <row r="170" spans="1:30" s="47" customFormat="1" ht="114.75" customHeight="1">
      <c r="A170" s="121"/>
      <c r="B170" s="77" t="s">
        <v>273</v>
      </c>
      <c r="C170" s="126">
        <f>D170+G170</f>
        <v>1377000</v>
      </c>
      <c r="D170" s="95">
        <v>6000</v>
      </c>
      <c r="E170" s="114"/>
      <c r="F170" s="114"/>
      <c r="G170" s="95">
        <v>1371000</v>
      </c>
      <c r="H170" s="114"/>
      <c r="I170" s="114"/>
      <c r="J170" s="114"/>
      <c r="K170" s="114"/>
      <c r="L170" s="114"/>
      <c r="M170" s="114"/>
      <c r="N170" s="117">
        <f>C170+H170</f>
        <v>1377000</v>
      </c>
      <c r="O170" s="79">
        <f t="shared" si="33"/>
        <v>1377000</v>
      </c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</row>
    <row r="171" spans="1:15" s="47" customFormat="1" ht="47.25">
      <c r="A171" s="72" t="s">
        <v>149</v>
      </c>
      <c r="B171" s="51" t="s">
        <v>233</v>
      </c>
      <c r="C171" s="89">
        <f>D171+G171</f>
        <v>811328600</v>
      </c>
      <c r="D171" s="90">
        <f>D172+D173+D174</f>
        <v>811328600</v>
      </c>
      <c r="E171" s="90">
        <f aca="true" t="shared" si="42" ref="E171:M171">E172+E173+E174</f>
        <v>0</v>
      </c>
      <c r="F171" s="90">
        <f t="shared" si="42"/>
        <v>0</v>
      </c>
      <c r="G171" s="90">
        <f t="shared" si="42"/>
        <v>0</v>
      </c>
      <c r="H171" s="90">
        <f t="shared" si="42"/>
        <v>406600</v>
      </c>
      <c r="I171" s="90">
        <f t="shared" si="42"/>
        <v>406600</v>
      </c>
      <c r="J171" s="90">
        <f t="shared" si="42"/>
        <v>0</v>
      </c>
      <c r="K171" s="90">
        <f t="shared" si="42"/>
        <v>0</v>
      </c>
      <c r="L171" s="90">
        <f t="shared" si="42"/>
        <v>0</v>
      </c>
      <c r="M171" s="90">
        <f t="shared" si="42"/>
        <v>0</v>
      </c>
      <c r="N171" s="91">
        <f>H171+C171</f>
        <v>811735200</v>
      </c>
      <c r="O171" s="79">
        <f t="shared" si="33"/>
        <v>811735200</v>
      </c>
    </row>
    <row r="172" spans="1:15" ht="110.25">
      <c r="A172" s="60">
        <v>250326</v>
      </c>
      <c r="B172" s="67" t="s">
        <v>206</v>
      </c>
      <c r="C172" s="92">
        <f aca="true" t="shared" si="43" ref="C172:C181">SUM(G172,D172)</f>
        <v>795046200</v>
      </c>
      <c r="D172" s="116">
        <v>795046200</v>
      </c>
      <c r="E172" s="86"/>
      <c r="F172" s="86"/>
      <c r="G172" s="86"/>
      <c r="H172" s="86">
        <f>I172+L172</f>
        <v>0</v>
      </c>
      <c r="I172" s="105"/>
      <c r="J172" s="86"/>
      <c r="K172" s="86"/>
      <c r="L172" s="86"/>
      <c r="M172" s="86"/>
      <c r="N172" s="87">
        <f t="shared" si="24"/>
        <v>795046200</v>
      </c>
      <c r="O172" s="79">
        <f t="shared" si="33"/>
        <v>795046200</v>
      </c>
    </row>
    <row r="173" spans="1:15" ht="224.25" customHeight="1">
      <c r="A173" s="60" t="s">
        <v>166</v>
      </c>
      <c r="B173" s="80" t="s">
        <v>234</v>
      </c>
      <c r="C173" s="92">
        <f>D173+G173</f>
        <v>0</v>
      </c>
      <c r="D173" s="116"/>
      <c r="E173" s="86"/>
      <c r="F173" s="86"/>
      <c r="G173" s="86"/>
      <c r="H173" s="108">
        <f>I173+L173</f>
        <v>406600</v>
      </c>
      <c r="I173" s="105">
        <v>406600</v>
      </c>
      <c r="J173" s="86"/>
      <c r="K173" s="86"/>
      <c r="L173" s="105"/>
      <c r="M173" s="86"/>
      <c r="N173" s="87">
        <f>H173+C173</f>
        <v>406600</v>
      </c>
      <c r="O173" s="79">
        <f t="shared" si="33"/>
        <v>406600</v>
      </c>
    </row>
    <row r="174" spans="1:15" ht="63">
      <c r="A174" s="60" t="s">
        <v>189</v>
      </c>
      <c r="B174" s="74" t="s">
        <v>193</v>
      </c>
      <c r="C174" s="92">
        <f>D174+G174</f>
        <v>16282400</v>
      </c>
      <c r="D174" s="116">
        <v>16282400</v>
      </c>
      <c r="E174" s="86"/>
      <c r="F174" s="86"/>
      <c r="G174" s="86"/>
      <c r="H174" s="108"/>
      <c r="I174" s="86"/>
      <c r="J174" s="86"/>
      <c r="K174" s="86"/>
      <c r="L174" s="105"/>
      <c r="M174" s="86"/>
      <c r="N174" s="87">
        <f>H174+C174</f>
        <v>16282400</v>
      </c>
      <c r="O174" s="79">
        <f t="shared" si="33"/>
        <v>16282400</v>
      </c>
    </row>
    <row r="175" spans="1:15" ht="37.5" customHeight="1">
      <c r="A175" s="72" t="s">
        <v>151</v>
      </c>
      <c r="B175" s="49" t="s">
        <v>187</v>
      </c>
      <c r="C175" s="89">
        <f>SUM(G175,D175)</f>
        <v>1080000</v>
      </c>
      <c r="D175" s="90">
        <f>D176</f>
        <v>0</v>
      </c>
      <c r="E175" s="90">
        <f aca="true" t="shared" si="44" ref="E175:M175">E176</f>
        <v>0</v>
      </c>
      <c r="F175" s="90">
        <f t="shared" si="44"/>
        <v>0</v>
      </c>
      <c r="G175" s="90">
        <f t="shared" si="44"/>
        <v>1080000</v>
      </c>
      <c r="H175" s="90">
        <f t="shared" si="44"/>
        <v>0</v>
      </c>
      <c r="I175" s="90">
        <f t="shared" si="44"/>
        <v>0</v>
      </c>
      <c r="J175" s="90">
        <f t="shared" si="44"/>
        <v>0</v>
      </c>
      <c r="K175" s="90">
        <f t="shared" si="44"/>
        <v>0</v>
      </c>
      <c r="L175" s="90">
        <f t="shared" si="44"/>
        <v>0</v>
      </c>
      <c r="M175" s="90">
        <f t="shared" si="44"/>
        <v>0</v>
      </c>
      <c r="N175" s="91">
        <f>SUM(H175,C175)</f>
        <v>1080000</v>
      </c>
      <c r="O175" s="79">
        <f t="shared" si="33"/>
        <v>1080000</v>
      </c>
    </row>
    <row r="176" spans="1:15" ht="110.25" customHeight="1">
      <c r="A176" s="60"/>
      <c r="B176" s="78" t="s">
        <v>300</v>
      </c>
      <c r="C176" s="92">
        <f>D176+G176</f>
        <v>1080000</v>
      </c>
      <c r="D176" s="116"/>
      <c r="E176" s="86"/>
      <c r="F176" s="86"/>
      <c r="G176" s="105">
        <v>1080000</v>
      </c>
      <c r="H176" s="108"/>
      <c r="I176" s="86"/>
      <c r="J176" s="86"/>
      <c r="K176" s="86"/>
      <c r="L176" s="105"/>
      <c r="M176" s="86"/>
      <c r="N176" s="87">
        <f>H176+C176</f>
        <v>1080000</v>
      </c>
      <c r="O176" s="79">
        <f t="shared" si="33"/>
        <v>1080000</v>
      </c>
    </row>
    <row r="177" spans="1:15" s="47" customFormat="1" ht="31.5">
      <c r="A177" s="72" t="s">
        <v>150</v>
      </c>
      <c r="B177" s="49" t="s">
        <v>199</v>
      </c>
      <c r="C177" s="89">
        <f t="shared" si="43"/>
        <v>4549500</v>
      </c>
      <c r="D177" s="90">
        <f>D178</f>
        <v>4549500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1">
        <f>SUM(H177,C177)</f>
        <v>4549500</v>
      </c>
      <c r="O177" s="79">
        <f t="shared" si="33"/>
        <v>4549500</v>
      </c>
    </row>
    <row r="178" spans="1:15" ht="192.75" customHeight="1">
      <c r="A178" s="60" t="s">
        <v>192</v>
      </c>
      <c r="B178" s="78" t="s">
        <v>200</v>
      </c>
      <c r="C178" s="92">
        <f t="shared" si="43"/>
        <v>4549500</v>
      </c>
      <c r="D178" s="116">
        <v>4549500</v>
      </c>
      <c r="E178" s="86"/>
      <c r="F178" s="86"/>
      <c r="G178" s="105"/>
      <c r="H178" s="86"/>
      <c r="I178" s="86"/>
      <c r="J178" s="86"/>
      <c r="K178" s="86"/>
      <c r="L178" s="86"/>
      <c r="M178" s="86"/>
      <c r="N178" s="87">
        <f t="shared" si="24"/>
        <v>4549500</v>
      </c>
      <c r="O178" s="79">
        <f t="shared" si="33"/>
        <v>4549500</v>
      </c>
    </row>
    <row r="179" spans="1:15" s="47" customFormat="1" ht="35.25" customHeight="1">
      <c r="A179" s="72" t="s">
        <v>153</v>
      </c>
      <c r="B179" s="49" t="s">
        <v>93</v>
      </c>
      <c r="C179" s="89">
        <f>C180+C181+C182+C183</f>
        <v>127523200</v>
      </c>
      <c r="D179" s="90">
        <f>D180+D181+D182+D183</f>
        <v>127523200</v>
      </c>
      <c r="E179" s="90">
        <f aca="true" t="shared" si="45" ref="E179:N179">E180+E181+E182+E183</f>
        <v>0</v>
      </c>
      <c r="F179" s="90">
        <f t="shared" si="45"/>
        <v>0</v>
      </c>
      <c r="G179" s="90">
        <f t="shared" si="45"/>
        <v>0</v>
      </c>
      <c r="H179" s="90">
        <f t="shared" si="45"/>
        <v>71757200</v>
      </c>
      <c r="I179" s="90">
        <f t="shared" si="45"/>
        <v>71757200</v>
      </c>
      <c r="J179" s="90">
        <f t="shared" si="45"/>
        <v>0</v>
      </c>
      <c r="K179" s="90">
        <f t="shared" si="45"/>
        <v>0</v>
      </c>
      <c r="L179" s="90">
        <f t="shared" si="45"/>
        <v>0</v>
      </c>
      <c r="M179" s="90">
        <f t="shared" si="45"/>
        <v>0</v>
      </c>
      <c r="N179" s="91">
        <f t="shared" si="45"/>
        <v>199280400</v>
      </c>
      <c r="O179" s="79">
        <f t="shared" si="33"/>
        <v>199280400</v>
      </c>
    </row>
    <row r="180" spans="1:15" ht="66.75" customHeight="1">
      <c r="A180" s="60" t="s">
        <v>236</v>
      </c>
      <c r="B180" s="153" t="s">
        <v>235</v>
      </c>
      <c r="C180" s="92">
        <f t="shared" si="43"/>
        <v>14830600</v>
      </c>
      <c r="D180" s="116">
        <v>14830600</v>
      </c>
      <c r="E180" s="86"/>
      <c r="F180" s="86"/>
      <c r="G180" s="86"/>
      <c r="H180" s="86">
        <f>I180+L180</f>
        <v>0</v>
      </c>
      <c r="I180" s="86"/>
      <c r="J180" s="86"/>
      <c r="K180" s="86"/>
      <c r="L180" s="86"/>
      <c r="M180" s="86"/>
      <c r="N180" s="87">
        <f t="shared" si="24"/>
        <v>14830600</v>
      </c>
      <c r="O180" s="79">
        <f t="shared" si="33"/>
        <v>14830600</v>
      </c>
    </row>
    <row r="181" spans="1:15" ht="175.5" customHeight="1">
      <c r="A181" s="60">
        <v>250328</v>
      </c>
      <c r="B181" s="154" t="s">
        <v>284</v>
      </c>
      <c r="C181" s="92">
        <f t="shared" si="43"/>
        <v>46455600</v>
      </c>
      <c r="D181" s="116">
        <v>46455600</v>
      </c>
      <c r="E181" s="86"/>
      <c r="F181" s="86"/>
      <c r="G181" s="86"/>
      <c r="H181" s="108">
        <f>I181+L181</f>
        <v>71757200</v>
      </c>
      <c r="I181" s="105">
        <v>71757200</v>
      </c>
      <c r="J181" s="86"/>
      <c r="K181" s="86"/>
      <c r="L181" s="86"/>
      <c r="M181" s="86"/>
      <c r="N181" s="87">
        <f t="shared" si="24"/>
        <v>118212800</v>
      </c>
      <c r="O181" s="79">
        <f t="shared" si="33"/>
        <v>118212800</v>
      </c>
    </row>
    <row r="182" spans="1:15" ht="281.25" customHeight="1">
      <c r="A182" s="150" t="s">
        <v>130</v>
      </c>
      <c r="B182" s="155" t="s">
        <v>287</v>
      </c>
      <c r="C182" s="92">
        <f>SUM(G182,D182)</f>
        <v>29126800</v>
      </c>
      <c r="D182" s="116">
        <v>29126800</v>
      </c>
      <c r="E182" s="86"/>
      <c r="F182" s="86"/>
      <c r="G182" s="86"/>
      <c r="H182" s="86">
        <f>I182+L182</f>
        <v>0</v>
      </c>
      <c r="I182" s="86"/>
      <c r="J182" s="86"/>
      <c r="K182" s="86"/>
      <c r="L182" s="86"/>
      <c r="M182" s="86"/>
      <c r="N182" s="87">
        <f t="shared" si="24"/>
        <v>29126800</v>
      </c>
      <c r="O182" s="79">
        <f t="shared" si="33"/>
        <v>29126800</v>
      </c>
    </row>
    <row r="183" spans="1:15" ht="112.5" customHeight="1" thickBot="1">
      <c r="A183" s="128" t="s">
        <v>129</v>
      </c>
      <c r="B183" s="199" t="s">
        <v>231</v>
      </c>
      <c r="C183" s="156">
        <f>SUM(G183,D183)</f>
        <v>37110200</v>
      </c>
      <c r="D183" s="157">
        <v>37110200</v>
      </c>
      <c r="E183" s="158"/>
      <c r="F183" s="158"/>
      <c r="G183" s="158"/>
      <c r="H183" s="158"/>
      <c r="I183" s="158"/>
      <c r="J183" s="158"/>
      <c r="K183" s="158"/>
      <c r="L183" s="158"/>
      <c r="M183" s="158"/>
      <c r="N183" s="159">
        <f t="shared" si="24"/>
        <v>37110200</v>
      </c>
      <c r="O183" s="79">
        <f t="shared" si="33"/>
        <v>37110200</v>
      </c>
    </row>
    <row r="184" spans="1:15" s="47" customFormat="1" ht="20.25" thickBot="1">
      <c r="A184" s="239"/>
      <c r="B184" s="240" t="s">
        <v>94</v>
      </c>
      <c r="C184" s="151">
        <f aca="true" t="shared" si="46" ref="C184:N184">C167+C168</f>
        <v>1505879100</v>
      </c>
      <c r="D184" s="54">
        <f t="shared" si="46"/>
        <v>1455211741</v>
      </c>
      <c r="E184" s="54">
        <f t="shared" si="46"/>
        <v>246904184</v>
      </c>
      <c r="F184" s="54">
        <f t="shared" si="46"/>
        <v>39027981</v>
      </c>
      <c r="G184" s="54">
        <f t="shared" si="46"/>
        <v>48397359</v>
      </c>
      <c r="H184" s="54">
        <f t="shared" si="46"/>
        <v>129719600</v>
      </c>
      <c r="I184" s="54">
        <f t="shared" si="46"/>
        <v>103911757</v>
      </c>
      <c r="J184" s="54">
        <f t="shared" si="46"/>
        <v>1197126</v>
      </c>
      <c r="K184" s="54">
        <f t="shared" si="46"/>
        <v>519150</v>
      </c>
      <c r="L184" s="54">
        <f t="shared" si="46"/>
        <v>44373681</v>
      </c>
      <c r="M184" s="54">
        <f t="shared" si="46"/>
        <v>16922000</v>
      </c>
      <c r="N184" s="125">
        <f t="shared" si="46"/>
        <v>1635598700</v>
      </c>
      <c r="O184" s="79">
        <f t="shared" si="33"/>
        <v>1635598700</v>
      </c>
    </row>
    <row r="185" spans="1:15" ht="13.5" customHeight="1">
      <c r="A185" s="37"/>
      <c r="C185" s="5"/>
      <c r="D185" s="3"/>
      <c r="E185" s="3"/>
      <c r="F185" s="3"/>
      <c r="G185" s="3"/>
      <c r="H185" s="7"/>
      <c r="I185" s="3"/>
      <c r="J185" s="3"/>
      <c r="K185" s="3"/>
      <c r="L185" s="3"/>
      <c r="M185" s="3"/>
      <c r="N185" s="5"/>
      <c r="O185" s="79">
        <f>C185+H185</f>
        <v>0</v>
      </c>
    </row>
    <row r="186" spans="1:15" ht="12.75" customHeight="1">
      <c r="A186" s="18"/>
      <c r="B186" s="21"/>
      <c r="C186" s="5"/>
      <c r="D186" s="3"/>
      <c r="E186" s="3"/>
      <c r="F186" s="3"/>
      <c r="G186" s="3"/>
      <c r="H186" s="7"/>
      <c r="I186" s="3"/>
      <c r="J186" s="3"/>
      <c r="K186" s="22"/>
      <c r="L186" s="3"/>
      <c r="M186" s="3"/>
      <c r="N186" s="58"/>
      <c r="O186" s="79">
        <f>C186+H186</f>
        <v>0</v>
      </c>
    </row>
    <row r="187" spans="1:15" ht="37.5" customHeight="1">
      <c r="A187" s="19"/>
      <c r="B187" s="256" t="s">
        <v>142</v>
      </c>
      <c r="C187" s="256"/>
      <c r="D187" s="256"/>
      <c r="E187" s="31"/>
      <c r="G187" s="35"/>
      <c r="H187" s="36"/>
      <c r="I187" s="35"/>
      <c r="J187" s="35"/>
      <c r="K187" s="256" t="s">
        <v>266</v>
      </c>
      <c r="L187" s="256"/>
      <c r="M187" s="3"/>
      <c r="N187" s="5"/>
      <c r="O187" s="79"/>
    </row>
    <row r="188" spans="1:15" ht="15.75">
      <c r="A188" s="4"/>
      <c r="C188" s="5"/>
      <c r="D188" s="3"/>
      <c r="E188" s="3"/>
      <c r="F188" s="3"/>
      <c r="G188" s="3"/>
      <c r="H188" s="7"/>
      <c r="I188" s="3"/>
      <c r="J188" s="3"/>
      <c r="K188" s="3"/>
      <c r="L188" s="3"/>
      <c r="M188" s="3"/>
      <c r="N188" s="5"/>
      <c r="O188" s="79"/>
    </row>
    <row r="189" spans="1:15" ht="15.75">
      <c r="A189" s="18"/>
      <c r="O189" s="79"/>
    </row>
    <row r="190" spans="1:15" ht="15.75">
      <c r="A190" s="18"/>
      <c r="C190" s="41"/>
      <c r="O190" s="79"/>
    </row>
    <row r="191" spans="1:15" ht="15.75">
      <c r="A191" s="18"/>
      <c r="B191" s="15" t="s">
        <v>178</v>
      </c>
      <c r="C191" s="57">
        <f>C167-'додаток 2'!C57</f>
        <v>0</v>
      </c>
      <c r="D191">
        <f>D167-'додаток 2'!D57</f>
        <v>0</v>
      </c>
      <c r="E191">
        <f>E167-'додаток 2'!E57</f>
        <v>0</v>
      </c>
      <c r="F191">
        <f>F167-'додаток 2'!F57</f>
        <v>0</v>
      </c>
      <c r="G191">
        <f>G167-'додаток 2'!G57</f>
        <v>0</v>
      </c>
      <c r="H191" s="6">
        <f>H167-'додаток 2'!H57</f>
        <v>0</v>
      </c>
      <c r="I191">
        <f>I167-'додаток 2'!I57</f>
        <v>0</v>
      </c>
      <c r="J191">
        <f>J167-'додаток 2'!J57</f>
        <v>0</v>
      </c>
      <c r="K191">
        <f>K167-'додаток 2'!K57</f>
        <v>0</v>
      </c>
      <c r="L191">
        <f>L167-'додаток 2'!L57</f>
        <v>0</v>
      </c>
      <c r="M191">
        <f>M167-'додаток 2'!M57</f>
        <v>0</v>
      </c>
      <c r="N191" s="2">
        <f>N167-'додаток 2'!N57</f>
        <v>0</v>
      </c>
      <c r="O191" s="79"/>
    </row>
    <row r="192" spans="1:15" ht="15.75">
      <c r="A192" s="18"/>
      <c r="B192" s="15" t="s">
        <v>177</v>
      </c>
      <c r="C192" s="41">
        <f>C184-'додаток 2'!C70</f>
        <v>0</v>
      </c>
      <c r="D192">
        <f>D184-'додаток 2'!D70</f>
        <v>0</v>
      </c>
      <c r="E192">
        <f>E184-'додаток 2'!E70</f>
        <v>0</v>
      </c>
      <c r="F192">
        <f>F184-'додаток 2'!F70</f>
        <v>0</v>
      </c>
      <c r="G192">
        <f>G184-'додаток 2'!G70</f>
        <v>0</v>
      </c>
      <c r="H192" s="6">
        <f>H184-'додаток 2'!H70</f>
        <v>0</v>
      </c>
      <c r="I192">
        <f>I184-'додаток 2'!I70</f>
        <v>0</v>
      </c>
      <c r="J192">
        <f>J184-'додаток 2'!J70</f>
        <v>0</v>
      </c>
      <c r="K192">
        <f>K184-'додаток 2'!K70</f>
        <v>0</v>
      </c>
      <c r="L192">
        <f>L184-'додаток 2'!L70</f>
        <v>0</v>
      </c>
      <c r="M192">
        <f>M184-'додаток 2'!M70</f>
        <v>0</v>
      </c>
      <c r="N192" s="2">
        <f>N184-'додаток 2'!N70</f>
        <v>0</v>
      </c>
      <c r="O192" s="79"/>
    </row>
    <row r="193" spans="1:15" ht="15.75">
      <c r="A193" s="18"/>
      <c r="B193" s="15" t="s">
        <v>179</v>
      </c>
      <c r="C193" s="57">
        <f>C200-C184-C201</f>
        <v>350000</v>
      </c>
      <c r="D193" s="57"/>
      <c r="E193" s="57"/>
      <c r="F193" s="57"/>
      <c r="G193" s="57"/>
      <c r="H193" s="57">
        <f>H200-H184-H201</f>
        <v>0</v>
      </c>
      <c r="I193" s="57"/>
      <c r="J193" s="57"/>
      <c r="K193" s="57"/>
      <c r="L193" s="57"/>
      <c r="M193" s="57">
        <f>M184-M200</f>
        <v>0</v>
      </c>
      <c r="N193" s="57">
        <f>N200-N184-N201</f>
        <v>350000</v>
      </c>
      <c r="O193" s="79"/>
    </row>
    <row r="194" spans="1:15" ht="15.75">
      <c r="A194" s="18"/>
      <c r="O194" s="79"/>
    </row>
    <row r="195" spans="1:15" ht="15.75">
      <c r="A195" s="18"/>
      <c r="B195" s="15" t="s">
        <v>241</v>
      </c>
      <c r="C195" s="57">
        <f>C184</f>
        <v>1505879100</v>
      </c>
      <c r="O195" s="79"/>
    </row>
    <row r="196" spans="1:15" ht="15.75">
      <c r="A196" s="18"/>
      <c r="B196" s="15" t="s">
        <v>175</v>
      </c>
      <c r="C196" s="57">
        <f>'[1]додаток 1уточ.'!$C$54</f>
        <v>1506229100</v>
      </c>
      <c r="O196" s="79"/>
    </row>
    <row r="197" spans="1:15" ht="15.75">
      <c r="A197" s="18"/>
      <c r="B197" s="15" t="s">
        <v>176</v>
      </c>
      <c r="C197" s="57">
        <v>350000</v>
      </c>
      <c r="O197" s="79"/>
    </row>
    <row r="198" spans="1:15" ht="15.75">
      <c r="A198" s="18"/>
      <c r="C198" s="57">
        <f>C196-C195-C197</f>
        <v>0</v>
      </c>
      <c r="O198" s="79"/>
    </row>
    <row r="199" spans="1:15" ht="15.75">
      <c r="A199" s="18"/>
      <c r="B199" s="15" t="s">
        <v>241</v>
      </c>
      <c r="C199" s="57">
        <f>568673400+19730600+914745300+2079800-350000+1000000</f>
        <v>1505879100</v>
      </c>
      <c r="H199" s="65">
        <f>H184</f>
        <v>129719600</v>
      </c>
      <c r="M199" s="136">
        <f>M184</f>
        <v>16922000</v>
      </c>
      <c r="N199" s="57">
        <f>C199+H199</f>
        <v>1635598700</v>
      </c>
      <c r="O199" s="79"/>
    </row>
    <row r="200" spans="1:15" ht="15.75">
      <c r="A200" s="18"/>
      <c r="B200" s="15" t="s">
        <v>175</v>
      </c>
      <c r="C200" s="57">
        <f>1505729100-500000+1000000</f>
        <v>1506229100</v>
      </c>
      <c r="H200" s="65">
        <f>'[1]додаток 1уточ.'!$D$54</f>
        <v>129719600</v>
      </c>
      <c r="M200" s="136">
        <f>'[1]додаток 1уточ.'!$E$54</f>
        <v>16922000</v>
      </c>
      <c r="N200" s="2">
        <f>C200+H200</f>
        <v>1635948700</v>
      </c>
      <c r="O200" s="79"/>
    </row>
    <row r="201" spans="1:15" ht="15.75">
      <c r="A201" s="18"/>
      <c r="B201" s="15" t="s">
        <v>176</v>
      </c>
      <c r="C201" s="57"/>
      <c r="N201" s="57"/>
      <c r="O201" s="79"/>
    </row>
    <row r="202" spans="1:15" ht="15.75">
      <c r="A202" s="18"/>
      <c r="C202" s="57">
        <f>C200-C199-C201</f>
        <v>350000</v>
      </c>
      <c r="D202" s="2">
        <f aca="true" t="shared" si="47" ref="D202:M202">D200-D199-D201</f>
        <v>0</v>
      </c>
      <c r="E202" s="2">
        <f t="shared" si="47"/>
        <v>0</v>
      </c>
      <c r="F202" s="2">
        <f t="shared" si="47"/>
        <v>0</v>
      </c>
      <c r="G202" s="2">
        <f t="shared" si="47"/>
        <v>0</v>
      </c>
      <c r="H202" s="2"/>
      <c r="I202" s="2">
        <f t="shared" si="47"/>
        <v>0</v>
      </c>
      <c r="J202" s="2">
        <f t="shared" si="47"/>
        <v>0</v>
      </c>
      <c r="K202" s="2">
        <f t="shared" si="47"/>
        <v>0</v>
      </c>
      <c r="L202" s="2">
        <f t="shared" si="47"/>
        <v>0</v>
      </c>
      <c r="M202" s="2">
        <f t="shared" si="47"/>
        <v>0</v>
      </c>
      <c r="N202" s="57">
        <f>N200-N199-N201</f>
        <v>350000</v>
      </c>
      <c r="O202" s="79">
        <f>C202+H202</f>
        <v>350000</v>
      </c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</sheetData>
  <mergeCells count="16">
    <mergeCell ref="A4:A5"/>
    <mergeCell ref="K187:L187"/>
    <mergeCell ref="N3:N5"/>
    <mergeCell ref="C4:C5"/>
    <mergeCell ref="E4:F4"/>
    <mergeCell ref="D4:D5"/>
    <mergeCell ref="G4:G5"/>
    <mergeCell ref="H4:H5"/>
    <mergeCell ref="I4:I5"/>
    <mergeCell ref="J4:K4"/>
    <mergeCell ref="B187:D187"/>
    <mergeCell ref="C3:G3"/>
    <mergeCell ref="H3:M3"/>
    <mergeCell ref="M4:M5"/>
    <mergeCell ref="B4:B5"/>
    <mergeCell ref="L4:L5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5" manualBreakCount="5">
    <brk id="21" max="13" man="1"/>
    <brk id="33" max="13" man="1"/>
    <brk id="154" max="13" man="1"/>
    <brk id="171" max="13" man="1"/>
    <brk id="17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showZeros="0" view="pageBreakPreview" zoomScaleSheetLayoutView="100" workbookViewId="0" topLeftCell="A7">
      <pane xSplit="2" ySplit="4" topLeftCell="E33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F36" sqref="F36"/>
    </sheetView>
  </sheetViews>
  <sheetFormatPr defaultColWidth="9.33203125" defaultRowHeight="12.75"/>
  <cols>
    <col min="1" max="1" width="13" style="11" customWidth="1"/>
    <col min="2" max="2" width="39.5" style="129" customWidth="1"/>
    <col min="3" max="3" width="20.83203125" style="12" customWidth="1"/>
    <col min="4" max="4" width="20.5" style="8" customWidth="1"/>
    <col min="5" max="5" width="17.83203125" style="8" customWidth="1"/>
    <col min="6" max="7" width="16.66015625" style="8" customWidth="1"/>
    <col min="8" max="8" width="18" style="12" customWidth="1"/>
    <col min="9" max="9" width="18.33203125" style="8" customWidth="1"/>
    <col min="10" max="10" width="14.5" style="8" customWidth="1"/>
    <col min="11" max="11" width="14.16015625" style="8" customWidth="1"/>
    <col min="12" max="13" width="16.33203125" style="8" customWidth="1"/>
    <col min="14" max="14" width="21.16015625" style="12" customWidth="1"/>
    <col min="15" max="15" width="19.16015625" style="8" customWidth="1"/>
    <col min="16" max="16384" width="9.33203125" style="8" customWidth="1"/>
  </cols>
  <sheetData>
    <row r="1" ht="12.75">
      <c r="M1" s="12" t="s">
        <v>208</v>
      </c>
    </row>
    <row r="2" ht="12.75">
      <c r="M2" s="12" t="s">
        <v>267</v>
      </c>
    </row>
    <row r="3" ht="12.75">
      <c r="M3" s="12" t="s">
        <v>302</v>
      </c>
    </row>
    <row r="4" ht="12.75">
      <c r="M4" s="12"/>
    </row>
    <row r="5" spans="1:14" ht="30.75" customHeight="1">
      <c r="A5" s="272" t="s">
        <v>301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:14" ht="30" customHeight="1">
      <c r="A6" s="272" t="s">
        <v>330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ht="15.75" thickBot="1">
      <c r="N7" s="42" t="s">
        <v>144</v>
      </c>
    </row>
    <row r="8" spans="1:14" ht="39" customHeight="1" thickBot="1">
      <c r="A8" s="275" t="s">
        <v>331</v>
      </c>
      <c r="B8" s="277" t="s">
        <v>332</v>
      </c>
      <c r="C8" s="271" t="s">
        <v>90</v>
      </c>
      <c r="D8" s="271"/>
      <c r="E8" s="271"/>
      <c r="F8" s="271"/>
      <c r="G8" s="271"/>
      <c r="H8" s="271" t="s">
        <v>92</v>
      </c>
      <c r="I8" s="271"/>
      <c r="J8" s="271"/>
      <c r="K8" s="271"/>
      <c r="L8" s="271"/>
      <c r="M8" s="271"/>
      <c r="N8" s="273" t="s">
        <v>84</v>
      </c>
    </row>
    <row r="9" spans="1:14" ht="16.5" customHeight="1" thickBot="1">
      <c r="A9" s="276"/>
      <c r="B9" s="278"/>
      <c r="C9" s="271" t="s">
        <v>91</v>
      </c>
      <c r="D9" s="265" t="s">
        <v>201</v>
      </c>
      <c r="E9" s="271" t="s">
        <v>97</v>
      </c>
      <c r="F9" s="271"/>
      <c r="G9" s="265" t="s">
        <v>204</v>
      </c>
      <c r="H9" s="271" t="s">
        <v>91</v>
      </c>
      <c r="I9" s="265" t="s">
        <v>201</v>
      </c>
      <c r="J9" s="271" t="s">
        <v>97</v>
      </c>
      <c r="K9" s="271"/>
      <c r="L9" s="265" t="s">
        <v>204</v>
      </c>
      <c r="M9" s="265" t="s">
        <v>205</v>
      </c>
      <c r="N9" s="273"/>
    </row>
    <row r="10" spans="1:14" ht="83.25" customHeight="1" thickBot="1">
      <c r="A10" s="276"/>
      <c r="B10" s="279"/>
      <c r="C10" s="271"/>
      <c r="D10" s="265"/>
      <c r="E10" s="118" t="s">
        <v>202</v>
      </c>
      <c r="F10" s="118" t="s">
        <v>203</v>
      </c>
      <c r="G10" s="265"/>
      <c r="H10" s="271"/>
      <c r="I10" s="265"/>
      <c r="J10" s="118" t="s">
        <v>202</v>
      </c>
      <c r="K10" s="118" t="s">
        <v>203</v>
      </c>
      <c r="L10" s="265"/>
      <c r="M10" s="265"/>
      <c r="N10" s="274"/>
    </row>
    <row r="11" spans="1:14" s="26" customFormat="1" ht="24" customHeight="1" thickBot="1">
      <c r="A11" s="225">
        <v>1</v>
      </c>
      <c r="B11" s="226">
        <v>2</v>
      </c>
      <c r="C11" s="226">
        <v>3</v>
      </c>
      <c r="D11" s="227">
        <v>4</v>
      </c>
      <c r="E11" s="227">
        <v>5</v>
      </c>
      <c r="F11" s="227">
        <v>6</v>
      </c>
      <c r="G11" s="227">
        <v>7</v>
      </c>
      <c r="H11" s="226">
        <v>8</v>
      </c>
      <c r="I11" s="227">
        <v>9</v>
      </c>
      <c r="J11" s="227">
        <v>10</v>
      </c>
      <c r="K11" s="227">
        <v>11</v>
      </c>
      <c r="L11" s="227">
        <v>12</v>
      </c>
      <c r="M11" s="227">
        <v>13</v>
      </c>
      <c r="N11" s="228" t="s">
        <v>207</v>
      </c>
    </row>
    <row r="12" spans="1:15" s="13" customFormat="1" ht="15.75">
      <c r="A12" s="229" t="s">
        <v>11</v>
      </c>
      <c r="B12" s="230" t="s">
        <v>95</v>
      </c>
      <c r="C12" s="231">
        <f aca="true" t="shared" si="0" ref="C12:C18">D12+G12</f>
        <v>3933400</v>
      </c>
      <c r="D12" s="232">
        <f aca="true" t="shared" si="1" ref="D12:M12">SUM(D13)</f>
        <v>3933400</v>
      </c>
      <c r="E12" s="232">
        <f>SUM(E13)</f>
        <v>2040000</v>
      </c>
      <c r="F12" s="232">
        <f t="shared" si="1"/>
        <v>758000</v>
      </c>
      <c r="G12" s="233">
        <f t="shared" si="1"/>
        <v>0</v>
      </c>
      <c r="H12" s="234">
        <f>SUM(I12,L12)</f>
        <v>0</v>
      </c>
      <c r="I12" s="232">
        <f t="shared" si="1"/>
        <v>0</v>
      </c>
      <c r="J12" s="232">
        <f t="shared" si="1"/>
        <v>0</v>
      </c>
      <c r="K12" s="232">
        <f t="shared" si="1"/>
        <v>0</v>
      </c>
      <c r="L12" s="232">
        <f t="shared" si="1"/>
        <v>0</v>
      </c>
      <c r="M12" s="232">
        <f t="shared" si="1"/>
        <v>0</v>
      </c>
      <c r="N12" s="233">
        <f>H12+C12</f>
        <v>3933400</v>
      </c>
      <c r="O12" s="127">
        <f>C12+H12</f>
        <v>3933400</v>
      </c>
    </row>
    <row r="13" spans="1:15" ht="17.25" customHeight="1">
      <c r="A13" s="161" t="s">
        <v>47</v>
      </c>
      <c r="B13" s="172" t="s">
        <v>96</v>
      </c>
      <c r="C13" s="212">
        <f t="shared" si="0"/>
        <v>3933400</v>
      </c>
      <c r="D13" s="68">
        <f>'додаток 3'!D8</f>
        <v>3933400</v>
      </c>
      <c r="E13" s="68">
        <f>'додаток 3'!E8</f>
        <v>2040000</v>
      </c>
      <c r="F13" s="68">
        <f>'додаток 3'!F8</f>
        <v>758000</v>
      </c>
      <c r="G13" s="213">
        <f>'додаток 3'!G8</f>
        <v>0</v>
      </c>
      <c r="H13" s="200">
        <f>'додаток 3'!H8</f>
        <v>0</v>
      </c>
      <c r="I13" s="68">
        <f>'додаток 3'!I8</f>
        <v>0</v>
      </c>
      <c r="J13" s="68">
        <f>'додаток 3'!J8</f>
        <v>0</v>
      </c>
      <c r="K13" s="68">
        <f>'додаток 3'!K8</f>
        <v>0</v>
      </c>
      <c r="L13" s="68">
        <f>'додаток 3'!L8</f>
        <v>0</v>
      </c>
      <c r="M13" s="68">
        <f>'додаток 3'!M8</f>
        <v>0</v>
      </c>
      <c r="N13" s="69">
        <f aca="true" t="shared" si="2" ref="N13:N56">H13+C13</f>
        <v>3933400</v>
      </c>
      <c r="O13" s="127">
        <f aca="true" t="shared" si="3" ref="O13:O47">C13+H13</f>
        <v>3933400</v>
      </c>
    </row>
    <row r="14" spans="1:15" s="38" customFormat="1" ht="15.75">
      <c r="A14" s="160" t="s">
        <v>38</v>
      </c>
      <c r="B14" s="171" t="s">
        <v>98</v>
      </c>
      <c r="C14" s="211">
        <f t="shared" si="0"/>
        <v>175314384</v>
      </c>
      <c r="D14" s="81">
        <f>'додаток 3'!D24-'додаток 3'!D52-'додаток 3'!D53+'додаток 3'!D55+'додаток 3'!D56+'додаток 3'!D57</f>
        <v>148969467</v>
      </c>
      <c r="E14" s="81">
        <f>'додаток 3'!E24-'додаток 3'!E52-'додаток 3'!E53+'додаток 3'!E55+'додаток 3'!E56+'додаток 3'!E57</f>
        <v>61575954</v>
      </c>
      <c r="F14" s="81">
        <f>'додаток 3'!F24-'додаток 3'!F52-'додаток 3'!F53+'додаток 3'!F55+'додаток 3'!F56+'додаток 3'!F57</f>
        <v>9147261</v>
      </c>
      <c r="G14" s="82">
        <f>'додаток 3'!G24-'додаток 3'!G52-'додаток 3'!G53+'додаток 3'!G55+'додаток 3'!G56+'додаток 3'!G57</f>
        <v>26344917</v>
      </c>
      <c r="H14" s="201">
        <f>'додаток 3'!H24-'додаток 3'!H52-'додаток 3'!H53+'додаток 3'!H55+'додаток 3'!H56+'додаток 3'!H57</f>
        <v>5738200</v>
      </c>
      <c r="I14" s="81">
        <f>'додаток 3'!I24-'додаток 3'!I52-'додаток 3'!I53+'додаток 3'!I55+'додаток 3'!I56+'додаток 3'!I57</f>
        <v>5738200</v>
      </c>
      <c r="J14" s="81">
        <f>'додаток 3'!J24-'додаток 3'!J52-'додаток 3'!J53+'додаток 3'!J55+'додаток 3'!J56+'додаток 3'!J57</f>
        <v>75800</v>
      </c>
      <c r="K14" s="81">
        <f>'додаток 3'!K24-'додаток 3'!K52-'додаток 3'!K53+'додаток 3'!K55+'додаток 3'!K56+'додаток 3'!K57</f>
        <v>32250</v>
      </c>
      <c r="L14" s="81">
        <f>'додаток 3'!L24-'додаток 3'!L52-'додаток 3'!L53+'додаток 3'!L55+'додаток 3'!L56+'додаток 3'!L57</f>
        <v>0</v>
      </c>
      <c r="M14" s="81">
        <f>'додаток 3'!M24-'додаток 3'!M52-'додаток 3'!M53+'додаток 3'!M55+'додаток 3'!M56+'додаток 3'!M57</f>
        <v>0</v>
      </c>
      <c r="N14" s="82">
        <f t="shared" si="2"/>
        <v>181052584</v>
      </c>
      <c r="O14" s="127">
        <f t="shared" si="3"/>
        <v>181052584</v>
      </c>
    </row>
    <row r="15" spans="1:15" s="13" customFormat="1" ht="15.75">
      <c r="A15" s="160" t="s">
        <v>12</v>
      </c>
      <c r="B15" s="171" t="s">
        <v>243</v>
      </c>
      <c r="C15" s="211">
        <f t="shared" si="0"/>
        <v>271736984</v>
      </c>
      <c r="D15" s="81">
        <f>'додаток 3'!D54-'додаток 3'!D55-'додаток 3'!D56-'додаток 3'!D57-'додаток 3'!D81</f>
        <v>270706341</v>
      </c>
      <c r="E15" s="81">
        <f>'додаток 3'!E54-'додаток 3'!E55-'додаток 3'!E56-'додаток 3'!E57-'додаток 3'!E81</f>
        <v>149882800</v>
      </c>
      <c r="F15" s="81">
        <f>'додаток 3'!F54-'додаток 3'!F55-'додаток 3'!F56-'додаток 3'!F57-'додаток 3'!F81</f>
        <v>22141500</v>
      </c>
      <c r="G15" s="82">
        <f>'додаток 3'!G54-'додаток 3'!G55-'додаток 3'!G56-'додаток 3'!G57-'додаток 3'!G81</f>
        <v>1030643</v>
      </c>
      <c r="H15" s="201">
        <f>'додаток 3'!H54-'додаток 3'!H55-'додаток 3'!H56-'додаток 3'!H57-'додаток 3'!H81</f>
        <v>3694800</v>
      </c>
      <c r="I15" s="81">
        <f>'додаток 3'!I54-'додаток 3'!I55-'додаток 3'!I56-'додаток 3'!I57-'додаток 3'!I81</f>
        <v>3324800</v>
      </c>
      <c r="J15" s="81">
        <f>'додаток 3'!J54-'додаток 3'!J55-'додаток 3'!J56-'додаток 3'!J57-'додаток 3'!J81</f>
        <v>1057500</v>
      </c>
      <c r="K15" s="81">
        <f>'додаток 3'!K54-'додаток 3'!K55-'додаток 3'!K56-'додаток 3'!K57-'додаток 3'!K81</f>
        <v>385000</v>
      </c>
      <c r="L15" s="81">
        <f>'додаток 3'!L54-'додаток 3'!L55-'додаток 3'!L56-'додаток 3'!L57-'додаток 3'!L81</f>
        <v>370000</v>
      </c>
      <c r="M15" s="81">
        <f>'додаток 3'!M54-'додаток 3'!M55-'додаток 3'!M56-'додаток 3'!M57-'додаток 3'!M81</f>
        <v>0</v>
      </c>
      <c r="N15" s="82">
        <f t="shared" si="2"/>
        <v>275431784</v>
      </c>
      <c r="O15" s="127">
        <f t="shared" si="3"/>
        <v>275431784</v>
      </c>
    </row>
    <row r="16" spans="1:15" s="39" customFormat="1" ht="31.5">
      <c r="A16" s="160" t="s">
        <v>21</v>
      </c>
      <c r="B16" s="171" t="s">
        <v>100</v>
      </c>
      <c r="C16" s="211">
        <f t="shared" si="0"/>
        <v>40991498</v>
      </c>
      <c r="D16" s="81">
        <f>'додаток 3'!D82+'додаток 3'!D95+'додаток 3'!D114</f>
        <v>40976498</v>
      </c>
      <c r="E16" s="81">
        <f>'додаток 3'!E82+'додаток 3'!E95+'додаток 3'!E114</f>
        <v>19231550</v>
      </c>
      <c r="F16" s="81">
        <f>'додаток 3'!F82+'додаток 3'!F95+'додаток 3'!F114</f>
        <v>5403280</v>
      </c>
      <c r="G16" s="82">
        <f>'додаток 3'!G82+'додаток 3'!G95+'додаток 3'!G114</f>
        <v>15000</v>
      </c>
      <c r="H16" s="201">
        <f>'додаток 3'!H82+'додаток 3'!H95+'додаток 3'!H114</f>
        <v>8634700</v>
      </c>
      <c r="I16" s="81">
        <f>'додаток 3'!I82+'додаток 3'!I95+'додаток 3'!I114</f>
        <v>8162700</v>
      </c>
      <c r="J16" s="81">
        <f>'додаток 3'!J82+'додаток 3'!J95+'додаток 3'!J114</f>
        <v>0</v>
      </c>
      <c r="K16" s="81">
        <f>'додаток 3'!K82+'додаток 3'!K95+'додаток 3'!K114</f>
        <v>0</v>
      </c>
      <c r="L16" s="81">
        <f>'додаток 3'!L82+'додаток 3'!L95+'додаток 3'!L114</f>
        <v>472000</v>
      </c>
      <c r="M16" s="81">
        <f>'додаток 3'!M82+'додаток 3'!M95+'додаток 3'!M114</f>
        <v>0</v>
      </c>
      <c r="N16" s="82">
        <f t="shared" si="2"/>
        <v>49626198</v>
      </c>
      <c r="O16" s="127">
        <f t="shared" si="3"/>
        <v>49626198</v>
      </c>
    </row>
    <row r="17" spans="1:15" s="39" customFormat="1" ht="15.75">
      <c r="A17" s="160">
        <v>110000</v>
      </c>
      <c r="B17" s="171" t="s">
        <v>105</v>
      </c>
      <c r="C17" s="211">
        <f t="shared" si="0"/>
        <v>33543716</v>
      </c>
      <c r="D17" s="83">
        <f>'додаток 3'!D81+'додаток 3'!D123</f>
        <v>33083716</v>
      </c>
      <c r="E17" s="83">
        <f>'додаток 3'!E81+'додаток 3'!E123</f>
        <v>10897680</v>
      </c>
      <c r="F17" s="83">
        <f>'додаток 3'!F81+'додаток 3'!F123</f>
        <v>1348720</v>
      </c>
      <c r="G17" s="214">
        <f>'додаток 3'!G81+'додаток 3'!G123</f>
        <v>460000</v>
      </c>
      <c r="H17" s="202">
        <f>'додаток 3'!H81+'додаток 3'!H123</f>
        <v>820300</v>
      </c>
      <c r="I17" s="83">
        <f>'додаток 3'!I81+'додаток 3'!I123</f>
        <v>734091</v>
      </c>
      <c r="J17" s="83">
        <f>'додаток 3'!J81+'додаток 3'!J123</f>
        <v>63826</v>
      </c>
      <c r="K17" s="83">
        <f>'додаток 3'!K81+'додаток 3'!K123</f>
        <v>94900</v>
      </c>
      <c r="L17" s="83">
        <f>'додаток 3'!L81+'додаток 3'!L123</f>
        <v>86209</v>
      </c>
      <c r="M17" s="83">
        <f>'додаток 3'!M81+'додаток 3'!M123</f>
        <v>0</v>
      </c>
      <c r="N17" s="82">
        <f t="shared" si="2"/>
        <v>34364016</v>
      </c>
      <c r="O17" s="127">
        <f t="shared" si="3"/>
        <v>34364016</v>
      </c>
    </row>
    <row r="18" spans="1:15" s="39" customFormat="1" ht="18.75" customHeight="1">
      <c r="A18" s="160" t="s">
        <v>322</v>
      </c>
      <c r="B18" s="191" t="s">
        <v>323</v>
      </c>
      <c r="C18" s="211">
        <f t="shared" si="0"/>
        <v>150000</v>
      </c>
      <c r="D18" s="83">
        <f>D19+D21+D23</f>
        <v>150000</v>
      </c>
      <c r="E18" s="83">
        <f aca="true" t="shared" si="4" ref="E18:M18">E19+E21+E23</f>
        <v>0</v>
      </c>
      <c r="F18" s="83">
        <f t="shared" si="4"/>
        <v>0</v>
      </c>
      <c r="G18" s="214">
        <f t="shared" si="4"/>
        <v>0</v>
      </c>
      <c r="H18" s="203">
        <f t="shared" si="4"/>
        <v>0</v>
      </c>
      <c r="I18" s="83">
        <f t="shared" si="4"/>
        <v>0</v>
      </c>
      <c r="J18" s="83">
        <f t="shared" si="4"/>
        <v>0</v>
      </c>
      <c r="K18" s="83">
        <f t="shared" si="4"/>
        <v>0</v>
      </c>
      <c r="L18" s="83">
        <f t="shared" si="4"/>
        <v>0</v>
      </c>
      <c r="M18" s="83">
        <f t="shared" si="4"/>
        <v>0</v>
      </c>
      <c r="N18" s="82">
        <f t="shared" si="2"/>
        <v>150000</v>
      </c>
      <c r="O18" s="127"/>
    </row>
    <row r="19" spans="1:15" s="39" customFormat="1" ht="18.75" customHeight="1">
      <c r="A19" s="148" t="s">
        <v>315</v>
      </c>
      <c r="B19" s="188" t="s">
        <v>316</v>
      </c>
      <c r="C19" s="212">
        <f aca="true" t="shared" si="5" ref="C19:C24">D19+G19</f>
        <v>10000</v>
      </c>
      <c r="D19" s="122">
        <f>D20</f>
        <v>10000</v>
      </c>
      <c r="E19" s="85"/>
      <c r="F19" s="85"/>
      <c r="G19" s="215"/>
      <c r="H19" s="204"/>
      <c r="I19" s="85"/>
      <c r="J19" s="85"/>
      <c r="K19" s="85"/>
      <c r="L19" s="85"/>
      <c r="M19" s="85"/>
      <c r="N19" s="69">
        <f aca="true" t="shared" si="6" ref="N19:N24">C19+H19</f>
        <v>10000</v>
      </c>
      <c r="O19" s="127"/>
    </row>
    <row r="20" spans="1:15" s="39" customFormat="1" ht="50.25" customHeight="1">
      <c r="A20" s="148" t="s">
        <v>225</v>
      </c>
      <c r="B20" s="186" t="s">
        <v>312</v>
      </c>
      <c r="C20" s="212">
        <f t="shared" si="5"/>
        <v>10000</v>
      </c>
      <c r="D20" s="122">
        <f>'додаток 3'!D17</f>
        <v>10000</v>
      </c>
      <c r="E20" s="85"/>
      <c r="F20" s="85"/>
      <c r="G20" s="215"/>
      <c r="H20" s="204"/>
      <c r="I20" s="85"/>
      <c r="J20" s="85"/>
      <c r="K20" s="85"/>
      <c r="L20" s="85"/>
      <c r="M20" s="85"/>
      <c r="N20" s="69">
        <f t="shared" si="6"/>
        <v>10000</v>
      </c>
      <c r="O20" s="127"/>
    </row>
    <row r="21" spans="1:15" s="39" customFormat="1" ht="18.75" customHeight="1">
      <c r="A21" s="148" t="s">
        <v>310</v>
      </c>
      <c r="B21" s="139" t="s">
        <v>311</v>
      </c>
      <c r="C21" s="212">
        <f t="shared" si="5"/>
        <v>40000</v>
      </c>
      <c r="D21" s="122">
        <f>D22</f>
        <v>40000</v>
      </c>
      <c r="E21" s="85"/>
      <c r="F21" s="85"/>
      <c r="G21" s="215"/>
      <c r="H21" s="204"/>
      <c r="I21" s="85"/>
      <c r="J21" s="85"/>
      <c r="K21" s="85"/>
      <c r="L21" s="85"/>
      <c r="M21" s="85"/>
      <c r="N21" s="69">
        <f t="shared" si="6"/>
        <v>40000</v>
      </c>
      <c r="O21" s="127"/>
    </row>
    <row r="22" spans="1:15" s="39" customFormat="1" ht="50.25" customHeight="1">
      <c r="A22" s="148" t="s">
        <v>225</v>
      </c>
      <c r="B22" s="186" t="s">
        <v>312</v>
      </c>
      <c r="C22" s="212">
        <f t="shared" si="5"/>
        <v>40000</v>
      </c>
      <c r="D22" s="122">
        <f>'додаток 3'!D10+'додаток 3'!D19</f>
        <v>40000</v>
      </c>
      <c r="E22" s="85"/>
      <c r="F22" s="85"/>
      <c r="G22" s="215"/>
      <c r="H22" s="204"/>
      <c r="I22" s="85"/>
      <c r="J22" s="85"/>
      <c r="K22" s="85"/>
      <c r="L22" s="85"/>
      <c r="M22" s="85"/>
      <c r="N22" s="69">
        <f t="shared" si="6"/>
        <v>40000</v>
      </c>
      <c r="O22" s="127"/>
    </row>
    <row r="23" spans="1:15" s="39" customFormat="1" ht="18" customHeight="1">
      <c r="A23" s="196" t="s">
        <v>317</v>
      </c>
      <c r="B23" s="153" t="s">
        <v>318</v>
      </c>
      <c r="C23" s="212">
        <f t="shared" si="5"/>
        <v>100000</v>
      </c>
      <c r="D23" s="122">
        <f>D24</f>
        <v>100000</v>
      </c>
      <c r="E23" s="85"/>
      <c r="F23" s="85"/>
      <c r="G23" s="215"/>
      <c r="H23" s="204"/>
      <c r="I23" s="85"/>
      <c r="J23" s="85"/>
      <c r="K23" s="85"/>
      <c r="L23" s="85"/>
      <c r="M23" s="85"/>
      <c r="N23" s="69">
        <f t="shared" si="6"/>
        <v>100000</v>
      </c>
      <c r="O23" s="127"/>
    </row>
    <row r="24" spans="1:15" s="39" customFormat="1" ht="96.75" customHeight="1">
      <c r="A24" s="163" t="s">
        <v>225</v>
      </c>
      <c r="B24" s="197" t="s">
        <v>319</v>
      </c>
      <c r="C24" s="212">
        <f t="shared" si="5"/>
        <v>100000</v>
      </c>
      <c r="D24" s="122">
        <f>'додаток 3'!D22</f>
        <v>100000</v>
      </c>
      <c r="E24" s="85"/>
      <c r="F24" s="85"/>
      <c r="G24" s="215"/>
      <c r="H24" s="204"/>
      <c r="I24" s="85"/>
      <c r="J24" s="85"/>
      <c r="K24" s="85"/>
      <c r="L24" s="85"/>
      <c r="M24" s="85"/>
      <c r="N24" s="69">
        <f t="shared" si="6"/>
        <v>100000</v>
      </c>
      <c r="O24" s="127"/>
    </row>
    <row r="25" spans="1:15" s="39" customFormat="1" ht="15.75">
      <c r="A25" s="160">
        <v>130000</v>
      </c>
      <c r="B25" s="171" t="s">
        <v>111</v>
      </c>
      <c r="C25" s="211">
        <f aca="true" t="shared" si="7" ref="C25:C37">D25+G25</f>
        <v>13667418</v>
      </c>
      <c r="D25" s="83">
        <f>'додаток 3'!D52+'додаток 3'!D53+'додаток 3'!D135</f>
        <v>12643619</v>
      </c>
      <c r="E25" s="83">
        <f>'додаток 3'!E52+'додаток 3'!E53+'додаток 3'!E135</f>
        <v>3190000</v>
      </c>
      <c r="F25" s="83">
        <f>'додаток 3'!F52+'додаток 3'!F53+'додаток 3'!F135</f>
        <v>217820</v>
      </c>
      <c r="G25" s="214">
        <f>'додаток 3'!G52+'додаток 3'!G53+'додаток 3'!G135</f>
        <v>1023799</v>
      </c>
      <c r="H25" s="202">
        <f>'додаток 3'!H52+'додаток 3'!H53+'додаток 3'!H135</f>
        <v>17000</v>
      </c>
      <c r="I25" s="83">
        <f>'додаток 3'!I52+'додаток 3'!I53+'додаток 3'!I135</f>
        <v>17000</v>
      </c>
      <c r="J25" s="83">
        <f>'додаток 3'!J52+'додаток 3'!J53+'додаток 3'!J135</f>
        <v>0</v>
      </c>
      <c r="K25" s="83">
        <f>'додаток 3'!K52+'додаток 3'!K53+'додаток 3'!K135</f>
        <v>7000</v>
      </c>
      <c r="L25" s="83">
        <f>'додаток 3'!L52+'додаток 3'!L53+'додаток 3'!L135</f>
        <v>0</v>
      </c>
      <c r="M25" s="83">
        <f>'додаток 3'!M52+'додаток 3'!M53+'додаток 3'!M135</f>
        <v>0</v>
      </c>
      <c r="N25" s="82">
        <f t="shared" si="2"/>
        <v>13684418</v>
      </c>
      <c r="O25" s="127">
        <f t="shared" si="3"/>
        <v>13684418</v>
      </c>
    </row>
    <row r="26" spans="1:15" s="39" customFormat="1" ht="15.75">
      <c r="A26" s="160">
        <v>150000</v>
      </c>
      <c r="B26" s="171" t="s">
        <v>116</v>
      </c>
      <c r="C26" s="211">
        <f t="shared" si="7"/>
        <v>0</v>
      </c>
      <c r="D26" s="83">
        <f>D27</f>
        <v>0</v>
      </c>
      <c r="E26" s="83">
        <f aca="true" t="shared" si="8" ref="E26:M26">E27</f>
        <v>0</v>
      </c>
      <c r="F26" s="83">
        <f t="shared" si="8"/>
        <v>0</v>
      </c>
      <c r="G26" s="214">
        <f t="shared" si="8"/>
        <v>0</v>
      </c>
      <c r="H26" s="202">
        <f t="shared" si="8"/>
        <v>35237838</v>
      </c>
      <c r="I26" s="83">
        <f t="shared" si="8"/>
        <v>0</v>
      </c>
      <c r="J26" s="83">
        <f t="shared" si="8"/>
        <v>0</v>
      </c>
      <c r="K26" s="83">
        <f t="shared" si="8"/>
        <v>0</v>
      </c>
      <c r="L26" s="83">
        <f t="shared" si="8"/>
        <v>35237838</v>
      </c>
      <c r="M26" s="83">
        <f t="shared" si="8"/>
        <v>35237838</v>
      </c>
      <c r="N26" s="82">
        <f t="shared" si="2"/>
        <v>35237838</v>
      </c>
      <c r="O26" s="127">
        <f t="shared" si="3"/>
        <v>35237838</v>
      </c>
    </row>
    <row r="27" spans="1:15" ht="15.75">
      <c r="A27" s="161">
        <v>150101</v>
      </c>
      <c r="B27" s="173" t="s">
        <v>117</v>
      </c>
      <c r="C27" s="212">
        <f t="shared" si="7"/>
        <v>0</v>
      </c>
      <c r="D27" s="70">
        <f>'додаток 3'!D147</f>
        <v>0</v>
      </c>
      <c r="E27" s="70">
        <f>'додаток 3'!E147</f>
        <v>0</v>
      </c>
      <c r="F27" s="70">
        <f>'додаток 3'!F147</f>
        <v>0</v>
      </c>
      <c r="G27" s="69">
        <f>'додаток 3'!G147</f>
        <v>0</v>
      </c>
      <c r="H27" s="205">
        <f>'додаток 3'!H147</f>
        <v>35237838</v>
      </c>
      <c r="I27" s="70">
        <f>'додаток 3'!I147</f>
        <v>0</v>
      </c>
      <c r="J27" s="70">
        <f>'додаток 3'!J147</f>
        <v>0</v>
      </c>
      <c r="K27" s="70">
        <f>'додаток 3'!K147</f>
        <v>0</v>
      </c>
      <c r="L27" s="123">
        <f>'додаток 3'!L147</f>
        <v>35237838</v>
      </c>
      <c r="M27" s="123">
        <f>'додаток 3'!M147</f>
        <v>35237838</v>
      </c>
      <c r="N27" s="69">
        <f t="shared" si="2"/>
        <v>35237838</v>
      </c>
      <c r="O27" s="127">
        <f t="shared" si="3"/>
        <v>35237838</v>
      </c>
    </row>
    <row r="28" spans="1:15" ht="31.5">
      <c r="A28" s="148" t="s">
        <v>225</v>
      </c>
      <c r="B28" s="197" t="s">
        <v>307</v>
      </c>
      <c r="C28" s="212"/>
      <c r="D28" s="70">
        <f>'додаток 3'!D148</f>
        <v>0</v>
      </c>
      <c r="E28" s="70">
        <f>'додаток 3'!E148</f>
        <v>0</v>
      </c>
      <c r="F28" s="70">
        <f>'додаток 3'!F148</f>
        <v>0</v>
      </c>
      <c r="G28" s="69">
        <f>'додаток 3'!G148</f>
        <v>0</v>
      </c>
      <c r="H28" s="169">
        <f>'додаток 3'!H148</f>
        <v>1000000</v>
      </c>
      <c r="I28" s="70">
        <f>'додаток 3'!I148</f>
        <v>0</v>
      </c>
      <c r="J28" s="70">
        <f>'додаток 3'!J148</f>
        <v>0</v>
      </c>
      <c r="K28" s="70">
        <f>'додаток 3'!K148</f>
        <v>0</v>
      </c>
      <c r="L28" s="123">
        <f>'додаток 3'!L148</f>
        <v>1000000</v>
      </c>
      <c r="M28" s="123">
        <f>'додаток 3'!M148</f>
        <v>1000000</v>
      </c>
      <c r="N28" s="69">
        <f t="shared" si="2"/>
        <v>1000000</v>
      </c>
      <c r="O28" s="127"/>
    </row>
    <row r="29" spans="1:15" ht="47.25">
      <c r="A29" s="162">
        <v>160000</v>
      </c>
      <c r="B29" s="198" t="s">
        <v>327</v>
      </c>
      <c r="C29" s="211">
        <f>D29+G29</f>
        <v>100000</v>
      </c>
      <c r="D29" s="83">
        <f aca="true" t="shared" si="9" ref="D29:M29">D31</f>
        <v>100000</v>
      </c>
      <c r="E29" s="83">
        <f t="shared" si="9"/>
        <v>0</v>
      </c>
      <c r="F29" s="83">
        <f t="shared" si="9"/>
        <v>0</v>
      </c>
      <c r="G29" s="214">
        <f t="shared" si="9"/>
        <v>0</v>
      </c>
      <c r="H29" s="202">
        <f t="shared" si="9"/>
        <v>0</v>
      </c>
      <c r="I29" s="83">
        <f t="shared" si="9"/>
        <v>0</v>
      </c>
      <c r="J29" s="83">
        <f t="shared" si="9"/>
        <v>0</v>
      </c>
      <c r="K29" s="83">
        <f t="shared" si="9"/>
        <v>0</v>
      </c>
      <c r="L29" s="83">
        <f t="shared" si="9"/>
        <v>0</v>
      </c>
      <c r="M29" s="83">
        <f t="shared" si="9"/>
        <v>0</v>
      </c>
      <c r="N29" s="82">
        <f>H29+C29</f>
        <v>100000</v>
      </c>
      <c r="O29" s="127"/>
    </row>
    <row r="30" spans="1:15" ht="63">
      <c r="A30" s="60">
        <v>160903</v>
      </c>
      <c r="B30" s="67" t="s">
        <v>320</v>
      </c>
      <c r="C30" s="212">
        <f>D30+G30</f>
        <v>100000</v>
      </c>
      <c r="D30" s="122">
        <f>'додаток 3'!D152</f>
        <v>100000</v>
      </c>
      <c r="E30" s="122">
        <f>'додаток 3'!E152</f>
        <v>0</v>
      </c>
      <c r="F30" s="122">
        <f>'додаток 3'!F152</f>
        <v>0</v>
      </c>
      <c r="G30" s="216">
        <f>'додаток 3'!G152</f>
        <v>0</v>
      </c>
      <c r="H30" s="206">
        <f>'додаток 3'!H152</f>
        <v>0</v>
      </c>
      <c r="I30" s="122">
        <f>'додаток 3'!I152</f>
        <v>0</v>
      </c>
      <c r="J30" s="122">
        <f>'додаток 3'!J152</f>
        <v>0</v>
      </c>
      <c r="K30" s="122">
        <f>'додаток 3'!K152</f>
        <v>0</v>
      </c>
      <c r="L30" s="122">
        <f>'додаток 3'!L152</f>
        <v>0</v>
      </c>
      <c r="M30" s="122">
        <f>'додаток 3'!M152</f>
        <v>0</v>
      </c>
      <c r="N30" s="69">
        <f>C30+H30</f>
        <v>100000</v>
      </c>
      <c r="O30" s="127"/>
    </row>
    <row r="31" spans="1:15" ht="63">
      <c r="A31" s="190" t="s">
        <v>225</v>
      </c>
      <c r="B31" s="67" t="s">
        <v>321</v>
      </c>
      <c r="C31" s="212">
        <f>D31+G31</f>
        <v>100000</v>
      </c>
      <c r="D31" s="122">
        <f>'додаток 3'!D153</f>
        <v>100000</v>
      </c>
      <c r="E31" s="122">
        <f>'додаток 3'!E153</f>
        <v>0</v>
      </c>
      <c r="F31" s="122">
        <f>'додаток 3'!F153</f>
        <v>0</v>
      </c>
      <c r="G31" s="216">
        <f>'додаток 3'!G153</f>
        <v>0</v>
      </c>
      <c r="H31" s="206">
        <f>'додаток 3'!H153</f>
        <v>0</v>
      </c>
      <c r="I31" s="122">
        <f>'додаток 3'!I153</f>
        <v>0</v>
      </c>
      <c r="J31" s="122">
        <f>'додаток 3'!J153</f>
        <v>0</v>
      </c>
      <c r="K31" s="122">
        <f>'додаток 3'!K153</f>
        <v>0</v>
      </c>
      <c r="L31" s="122">
        <f>'додаток 3'!L153</f>
        <v>0</v>
      </c>
      <c r="M31" s="122">
        <f>'додаток 3'!M153</f>
        <v>0</v>
      </c>
      <c r="N31" s="69">
        <f>C31+H31</f>
        <v>100000</v>
      </c>
      <c r="O31" s="127"/>
    </row>
    <row r="32" spans="1:15" s="39" customFormat="1" ht="50.25" customHeight="1">
      <c r="A32" s="160">
        <v>170000</v>
      </c>
      <c r="B32" s="171" t="s">
        <v>118</v>
      </c>
      <c r="C32" s="211">
        <f t="shared" si="7"/>
        <v>0</v>
      </c>
      <c r="D32" s="83">
        <f>D33</f>
        <v>0</v>
      </c>
      <c r="E32" s="83">
        <f aca="true" t="shared" si="10" ref="E32:M32">E33</f>
        <v>0</v>
      </c>
      <c r="F32" s="83">
        <f t="shared" si="10"/>
        <v>0</v>
      </c>
      <c r="G32" s="214">
        <f t="shared" si="10"/>
        <v>0</v>
      </c>
      <c r="H32" s="202">
        <f t="shared" si="10"/>
        <v>18517600</v>
      </c>
      <c r="I32" s="83">
        <f t="shared" si="10"/>
        <v>12753000</v>
      </c>
      <c r="J32" s="83">
        <f t="shared" si="10"/>
        <v>0</v>
      </c>
      <c r="K32" s="83">
        <f t="shared" si="10"/>
        <v>0</v>
      </c>
      <c r="L32" s="83">
        <f t="shared" si="10"/>
        <v>5764600</v>
      </c>
      <c r="M32" s="83">
        <f t="shared" si="10"/>
        <v>0</v>
      </c>
      <c r="N32" s="82">
        <f t="shared" si="2"/>
        <v>18517600</v>
      </c>
      <c r="O32" s="127">
        <f t="shared" si="3"/>
        <v>18517600</v>
      </c>
    </row>
    <row r="33" spans="1:15" ht="63">
      <c r="A33" s="161">
        <v>170703</v>
      </c>
      <c r="B33" s="173" t="s">
        <v>237</v>
      </c>
      <c r="C33" s="212">
        <f t="shared" si="7"/>
        <v>0</v>
      </c>
      <c r="D33" s="71">
        <f>'додаток 3'!D149</f>
        <v>0</v>
      </c>
      <c r="E33" s="71">
        <f>'додаток 3'!E149</f>
        <v>0</v>
      </c>
      <c r="F33" s="71">
        <f>'додаток 3'!F149</f>
        <v>0</v>
      </c>
      <c r="G33" s="217">
        <f>'додаток 3'!G149</f>
        <v>0</v>
      </c>
      <c r="H33" s="204">
        <f>'додаток 3'!H149</f>
        <v>18517600</v>
      </c>
      <c r="I33" s="71">
        <f>'додаток 3'!I149</f>
        <v>12753000</v>
      </c>
      <c r="J33" s="71">
        <f>'додаток 3'!J149</f>
        <v>0</v>
      </c>
      <c r="K33" s="71">
        <f>'додаток 3'!K149</f>
        <v>0</v>
      </c>
      <c r="L33" s="71">
        <f>'додаток 3'!L149</f>
        <v>5764600</v>
      </c>
      <c r="M33" s="71">
        <f>'додаток 3'!M149</f>
        <v>0</v>
      </c>
      <c r="N33" s="69">
        <f t="shared" si="2"/>
        <v>18517600</v>
      </c>
      <c r="O33" s="127">
        <f t="shared" si="3"/>
        <v>18517600</v>
      </c>
    </row>
    <row r="34" spans="1:15" ht="36" customHeight="1">
      <c r="A34" s="162">
        <v>180000</v>
      </c>
      <c r="B34" s="174" t="s">
        <v>248</v>
      </c>
      <c r="C34" s="211">
        <f t="shared" si="7"/>
        <v>0</v>
      </c>
      <c r="D34" s="81">
        <f>D35</f>
        <v>0</v>
      </c>
      <c r="E34" s="81">
        <f aca="true" t="shared" si="11" ref="E34:M34">E35</f>
        <v>0</v>
      </c>
      <c r="F34" s="81">
        <f t="shared" si="11"/>
        <v>0</v>
      </c>
      <c r="G34" s="82">
        <f t="shared" si="11"/>
        <v>0</v>
      </c>
      <c r="H34" s="201">
        <f t="shared" si="11"/>
        <v>250000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250000</v>
      </c>
      <c r="M34" s="81">
        <f t="shared" si="11"/>
        <v>250000</v>
      </c>
      <c r="N34" s="82">
        <f t="shared" si="2"/>
        <v>250000</v>
      </c>
      <c r="O34" s="127">
        <f t="shared" si="3"/>
        <v>250000</v>
      </c>
    </row>
    <row r="35" spans="1:15" ht="78.75" customHeight="1">
      <c r="A35" s="148" t="s">
        <v>288</v>
      </c>
      <c r="B35" s="139" t="s">
        <v>289</v>
      </c>
      <c r="C35" s="212">
        <f t="shared" si="7"/>
        <v>0</v>
      </c>
      <c r="D35" s="71">
        <f>'додаток 3'!D11</f>
        <v>0</v>
      </c>
      <c r="E35" s="71">
        <f>'додаток 3'!E11</f>
        <v>0</v>
      </c>
      <c r="F35" s="71">
        <f>'додаток 3'!F11</f>
        <v>0</v>
      </c>
      <c r="G35" s="217">
        <f>'додаток 3'!G11</f>
        <v>0</v>
      </c>
      <c r="H35" s="204">
        <f>'додаток 3'!H11</f>
        <v>250000</v>
      </c>
      <c r="I35" s="71">
        <f>'додаток 3'!I11</f>
        <v>0</v>
      </c>
      <c r="J35" s="71">
        <f>'додаток 3'!J11</f>
        <v>0</v>
      </c>
      <c r="K35" s="71">
        <f>'додаток 3'!K11</f>
        <v>0</v>
      </c>
      <c r="L35" s="71">
        <f>'додаток 3'!L11</f>
        <v>250000</v>
      </c>
      <c r="M35" s="71">
        <f>'додаток 3'!M11</f>
        <v>250000</v>
      </c>
      <c r="N35" s="69">
        <f t="shared" si="2"/>
        <v>250000</v>
      </c>
      <c r="O35" s="127">
        <f t="shared" si="3"/>
        <v>250000</v>
      </c>
    </row>
    <row r="36" spans="1:15" ht="64.5" customHeight="1">
      <c r="A36" s="163" t="s">
        <v>225</v>
      </c>
      <c r="B36" s="139" t="s">
        <v>333</v>
      </c>
      <c r="C36" s="212">
        <f t="shared" si="7"/>
        <v>0</v>
      </c>
      <c r="D36" s="71">
        <f>'додаток 3'!D12</f>
        <v>0</v>
      </c>
      <c r="E36" s="71">
        <f>'додаток 3'!E12</f>
        <v>0</v>
      </c>
      <c r="F36" s="71">
        <f>'додаток 3'!F12</f>
        <v>0</v>
      </c>
      <c r="G36" s="217">
        <f>'додаток 3'!G12</f>
        <v>0</v>
      </c>
      <c r="H36" s="204">
        <f>'додаток 3'!H12</f>
        <v>250000</v>
      </c>
      <c r="I36" s="71">
        <f>'додаток 3'!I12</f>
        <v>0</v>
      </c>
      <c r="J36" s="71">
        <f>'додаток 3'!J12</f>
        <v>0</v>
      </c>
      <c r="K36" s="71">
        <f>'додаток 3'!K12</f>
        <v>0</v>
      </c>
      <c r="L36" s="71">
        <f>'додаток 3'!L12</f>
        <v>250000</v>
      </c>
      <c r="M36" s="71">
        <f>'додаток 3'!M12</f>
        <v>250000</v>
      </c>
      <c r="N36" s="69">
        <f t="shared" si="2"/>
        <v>250000</v>
      </c>
      <c r="O36" s="127">
        <f t="shared" si="3"/>
        <v>250000</v>
      </c>
    </row>
    <row r="37" spans="1:15" s="40" customFormat="1" ht="47.25">
      <c r="A37" s="160" t="s">
        <v>168</v>
      </c>
      <c r="B37" s="171" t="s">
        <v>169</v>
      </c>
      <c r="C37" s="211">
        <f t="shared" si="7"/>
        <v>0</v>
      </c>
      <c r="D37" s="84"/>
      <c r="E37" s="83"/>
      <c r="F37" s="83"/>
      <c r="G37" s="214"/>
      <c r="H37" s="202">
        <f>SUM(I37,L37)</f>
        <v>100000</v>
      </c>
      <c r="I37" s="83">
        <f>I38</f>
        <v>15966</v>
      </c>
      <c r="J37" s="83">
        <f>J38</f>
        <v>0</v>
      </c>
      <c r="K37" s="83">
        <f>K38</f>
        <v>0</v>
      </c>
      <c r="L37" s="83">
        <f>L38</f>
        <v>84034</v>
      </c>
      <c r="M37" s="83">
        <f>M38</f>
        <v>0</v>
      </c>
      <c r="N37" s="82">
        <f t="shared" si="2"/>
        <v>100000</v>
      </c>
      <c r="O37" s="127">
        <f t="shared" si="3"/>
        <v>100000</v>
      </c>
    </row>
    <row r="38" spans="1:15" ht="31.5">
      <c r="A38" s="148" t="s">
        <v>167</v>
      </c>
      <c r="B38" s="173" t="s">
        <v>171</v>
      </c>
      <c r="C38" s="212"/>
      <c r="D38" s="70">
        <f>'додаток 3'!D154</f>
        <v>0</v>
      </c>
      <c r="E38" s="70">
        <f>'додаток 3'!E154</f>
        <v>0</v>
      </c>
      <c r="F38" s="70">
        <f>'додаток 3'!F154</f>
        <v>0</v>
      </c>
      <c r="G38" s="69">
        <f>'додаток 3'!G154</f>
        <v>0</v>
      </c>
      <c r="H38" s="205">
        <f>'додаток 3'!H154</f>
        <v>100000</v>
      </c>
      <c r="I38" s="123">
        <f>'додаток 3'!I154</f>
        <v>15966</v>
      </c>
      <c r="J38" s="123">
        <f>'додаток 3'!J154</f>
        <v>0</v>
      </c>
      <c r="K38" s="123">
        <f>'додаток 3'!K154</f>
        <v>0</v>
      </c>
      <c r="L38" s="123">
        <f>'додаток 3'!L154</f>
        <v>84034</v>
      </c>
      <c r="M38" s="70">
        <f>'додаток 3'!M154</f>
        <v>0</v>
      </c>
      <c r="N38" s="69">
        <f t="shared" si="2"/>
        <v>100000</v>
      </c>
      <c r="O38" s="127">
        <f t="shared" si="3"/>
        <v>100000</v>
      </c>
    </row>
    <row r="39" spans="1:15" s="40" customFormat="1" ht="47.25">
      <c r="A39" s="160">
        <v>210000</v>
      </c>
      <c r="B39" s="171" t="s">
        <v>170</v>
      </c>
      <c r="C39" s="211">
        <f>D39+G39</f>
        <v>982000</v>
      </c>
      <c r="D39" s="83">
        <f>SUM(D40:D40)</f>
        <v>832000</v>
      </c>
      <c r="E39" s="83">
        <f>SUM(E40:E40)</f>
        <v>0</v>
      </c>
      <c r="F39" s="83">
        <f>SUM(F40:F40)</f>
        <v>0</v>
      </c>
      <c r="G39" s="214">
        <f>SUM(G40:G40)</f>
        <v>150000</v>
      </c>
      <c r="H39" s="201">
        <f>SUM(I39,L39)</f>
        <v>0</v>
      </c>
      <c r="I39" s="83">
        <f>SUM(I40:I40)</f>
        <v>0</v>
      </c>
      <c r="J39" s="83">
        <f>SUM(J40:J40)</f>
        <v>0</v>
      </c>
      <c r="K39" s="83">
        <f>SUM(K40:K40)</f>
        <v>0</v>
      </c>
      <c r="L39" s="83">
        <f>SUM(L40:L40)</f>
        <v>0</v>
      </c>
      <c r="M39" s="83">
        <f>SUM(M40:M40)</f>
        <v>0</v>
      </c>
      <c r="N39" s="82">
        <f t="shared" si="2"/>
        <v>982000</v>
      </c>
      <c r="O39" s="127">
        <f t="shared" si="3"/>
        <v>982000</v>
      </c>
    </row>
    <row r="40" spans="1:15" ht="30">
      <c r="A40" s="161">
        <v>210110</v>
      </c>
      <c r="B40" s="172" t="s">
        <v>80</v>
      </c>
      <c r="C40" s="212">
        <f>D40+G40</f>
        <v>982000</v>
      </c>
      <c r="D40" s="71">
        <f>'додаток 3'!D121</f>
        <v>832000</v>
      </c>
      <c r="E40" s="71">
        <f>'додаток 3'!E121</f>
        <v>0</v>
      </c>
      <c r="F40" s="71">
        <f>'додаток 3'!F121</f>
        <v>0</v>
      </c>
      <c r="G40" s="217">
        <f>'додаток 3'!G121</f>
        <v>150000</v>
      </c>
      <c r="H40" s="204">
        <f>'додаток 3'!H121</f>
        <v>0</v>
      </c>
      <c r="I40" s="71">
        <f>'додаток 3'!I121</f>
        <v>0</v>
      </c>
      <c r="J40" s="71">
        <f>'додаток 3'!J121</f>
        <v>0</v>
      </c>
      <c r="K40" s="71">
        <f>'додаток 3'!K121</f>
        <v>0</v>
      </c>
      <c r="L40" s="71">
        <f>'додаток 3'!L121</f>
        <v>0</v>
      </c>
      <c r="M40" s="71">
        <f>'додаток 3'!M121</f>
        <v>0</v>
      </c>
      <c r="N40" s="69">
        <f t="shared" si="2"/>
        <v>982000</v>
      </c>
      <c r="O40" s="127">
        <f t="shared" si="3"/>
        <v>982000</v>
      </c>
    </row>
    <row r="41" spans="1:15" s="40" customFormat="1" ht="15.75">
      <c r="A41" s="160">
        <v>240000</v>
      </c>
      <c r="B41" s="171" t="s">
        <v>4</v>
      </c>
      <c r="C41" s="211">
        <f aca="true" t="shared" si="12" ref="C41:C56">D41+G41</f>
        <v>0</v>
      </c>
      <c r="D41" s="83">
        <f aca="true" t="shared" si="13" ref="D41:M41">D42+D43+D44</f>
        <v>0</v>
      </c>
      <c r="E41" s="83">
        <f t="shared" si="13"/>
        <v>0</v>
      </c>
      <c r="F41" s="83">
        <f t="shared" si="13"/>
        <v>0</v>
      </c>
      <c r="G41" s="214">
        <f t="shared" si="13"/>
        <v>0</v>
      </c>
      <c r="H41" s="202">
        <f t="shared" si="13"/>
        <v>3111200</v>
      </c>
      <c r="I41" s="83">
        <f t="shared" si="13"/>
        <v>1002200</v>
      </c>
      <c r="J41" s="83">
        <f t="shared" si="13"/>
        <v>0</v>
      </c>
      <c r="K41" s="83">
        <f t="shared" si="13"/>
        <v>0</v>
      </c>
      <c r="L41" s="83">
        <f t="shared" si="13"/>
        <v>2109000</v>
      </c>
      <c r="M41" s="83">
        <f t="shared" si="13"/>
        <v>0</v>
      </c>
      <c r="N41" s="82">
        <f t="shared" si="2"/>
        <v>3111200</v>
      </c>
      <c r="O41" s="127">
        <f t="shared" si="3"/>
        <v>3111200</v>
      </c>
    </row>
    <row r="42" spans="1:15" ht="36" customHeight="1">
      <c r="A42" s="164">
        <v>240601</v>
      </c>
      <c r="B42" s="172" t="s">
        <v>5</v>
      </c>
      <c r="C42" s="212">
        <f t="shared" si="12"/>
        <v>0</v>
      </c>
      <c r="D42" s="71">
        <f>'додаток 3'!D150</f>
        <v>0</v>
      </c>
      <c r="E42" s="71">
        <f>'додаток 3'!E150</f>
        <v>0</v>
      </c>
      <c r="F42" s="71">
        <f>'додаток 3'!F150</f>
        <v>0</v>
      </c>
      <c r="G42" s="217">
        <f>'додаток 3'!G150</f>
        <v>0</v>
      </c>
      <c r="H42" s="204">
        <f>'додаток 3'!H150</f>
        <v>2109000</v>
      </c>
      <c r="I42" s="71">
        <f>'додаток 3'!I150</f>
        <v>0</v>
      </c>
      <c r="J42" s="71">
        <f>'додаток 3'!J150</f>
        <v>0</v>
      </c>
      <c r="K42" s="71">
        <f>'додаток 3'!K150</f>
        <v>0</v>
      </c>
      <c r="L42" s="71">
        <f>'додаток 3'!L150</f>
        <v>2109000</v>
      </c>
      <c r="M42" s="71">
        <f>'додаток 3'!M150</f>
        <v>0</v>
      </c>
      <c r="N42" s="69">
        <f t="shared" si="2"/>
        <v>2109000</v>
      </c>
      <c r="O42" s="127">
        <f t="shared" si="3"/>
        <v>2109000</v>
      </c>
    </row>
    <row r="43" spans="1:15" ht="15.75">
      <c r="A43" s="161">
        <v>240602</v>
      </c>
      <c r="B43" s="172" t="s">
        <v>6</v>
      </c>
      <c r="C43" s="212">
        <f t="shared" si="12"/>
        <v>0</v>
      </c>
      <c r="D43" s="71">
        <f>'додаток 3'!D160</f>
        <v>0</v>
      </c>
      <c r="E43" s="71">
        <f>'додаток 3'!E160</f>
        <v>0</v>
      </c>
      <c r="F43" s="71">
        <f>'додаток 3'!F160</f>
        <v>0</v>
      </c>
      <c r="G43" s="217">
        <f>'додаток 3'!G160</f>
        <v>0</v>
      </c>
      <c r="H43" s="204">
        <f>'додаток 3'!H160</f>
        <v>400000</v>
      </c>
      <c r="I43" s="71">
        <f>'додаток 3'!I160</f>
        <v>400000</v>
      </c>
      <c r="J43" s="71">
        <f>'додаток 3'!J160</f>
        <v>0</v>
      </c>
      <c r="K43" s="71">
        <f>'додаток 3'!K160</f>
        <v>0</v>
      </c>
      <c r="L43" s="71">
        <f>'додаток 3'!L160</f>
        <v>0</v>
      </c>
      <c r="M43" s="71">
        <f>'додаток 3'!M160</f>
        <v>0</v>
      </c>
      <c r="N43" s="69">
        <f t="shared" si="2"/>
        <v>400000</v>
      </c>
      <c r="O43" s="127">
        <f t="shared" si="3"/>
        <v>400000</v>
      </c>
    </row>
    <row r="44" spans="1:15" ht="45">
      <c r="A44" s="161">
        <v>240604</v>
      </c>
      <c r="B44" s="172" t="s">
        <v>7</v>
      </c>
      <c r="C44" s="212">
        <f t="shared" si="12"/>
        <v>0</v>
      </c>
      <c r="D44" s="71">
        <f>'додаток 3'!D161</f>
        <v>0</v>
      </c>
      <c r="E44" s="71">
        <f>'додаток 3'!E161</f>
        <v>0</v>
      </c>
      <c r="F44" s="71">
        <f>'додаток 3'!F161</f>
        <v>0</v>
      </c>
      <c r="G44" s="217">
        <f>'додаток 3'!G161</f>
        <v>0</v>
      </c>
      <c r="H44" s="204">
        <f>'додаток 3'!H161</f>
        <v>602200</v>
      </c>
      <c r="I44" s="71">
        <f>'додаток 3'!I161</f>
        <v>602200</v>
      </c>
      <c r="J44" s="71">
        <f>'додаток 3'!J161</f>
        <v>0</v>
      </c>
      <c r="K44" s="71">
        <f>'додаток 3'!K161</f>
        <v>0</v>
      </c>
      <c r="L44" s="71">
        <f>'додаток 3'!L161</f>
        <v>0</v>
      </c>
      <c r="M44" s="71">
        <f>'додаток 3'!M161</f>
        <v>0</v>
      </c>
      <c r="N44" s="69">
        <f t="shared" si="2"/>
        <v>602200</v>
      </c>
      <c r="O44" s="127">
        <f t="shared" si="3"/>
        <v>602200</v>
      </c>
    </row>
    <row r="45" spans="1:15" s="40" customFormat="1" ht="31.5">
      <c r="A45" s="160" t="s">
        <v>122</v>
      </c>
      <c r="B45" s="171" t="s">
        <v>8</v>
      </c>
      <c r="C45" s="211">
        <f aca="true" t="shared" si="14" ref="C45:M45">C46+C47+C49+C52+C56</f>
        <v>19601400</v>
      </c>
      <c r="D45" s="81">
        <f t="shared" si="14"/>
        <v>409400</v>
      </c>
      <c r="E45" s="81">
        <f t="shared" si="14"/>
        <v>86200</v>
      </c>
      <c r="F45" s="81">
        <f t="shared" si="14"/>
        <v>11400</v>
      </c>
      <c r="G45" s="82">
        <f t="shared" si="14"/>
        <v>16922000</v>
      </c>
      <c r="H45" s="201">
        <f t="shared" si="14"/>
        <v>-18565838</v>
      </c>
      <c r="I45" s="81">
        <f t="shared" si="14"/>
        <v>0</v>
      </c>
      <c r="J45" s="81">
        <f t="shared" si="14"/>
        <v>0</v>
      </c>
      <c r="K45" s="81">
        <f t="shared" si="14"/>
        <v>0</v>
      </c>
      <c r="L45" s="81">
        <f t="shared" si="14"/>
        <v>0</v>
      </c>
      <c r="M45" s="81">
        <f t="shared" si="14"/>
        <v>-18565838</v>
      </c>
      <c r="N45" s="82">
        <f t="shared" si="2"/>
        <v>1035562</v>
      </c>
      <c r="O45" s="127">
        <f t="shared" si="3"/>
        <v>1035562</v>
      </c>
    </row>
    <row r="46" spans="1:15" ht="30">
      <c r="A46" s="165" t="s">
        <v>124</v>
      </c>
      <c r="B46" s="175" t="s">
        <v>123</v>
      </c>
      <c r="C46" s="212">
        <f>'додаток 3'!C162</f>
        <v>2270000</v>
      </c>
      <c r="D46" s="70">
        <f>'додаток 3'!D162</f>
        <v>0</v>
      </c>
      <c r="E46" s="70">
        <f>'додаток 3'!E162</f>
        <v>0</v>
      </c>
      <c r="F46" s="70">
        <f>'додаток 3'!F162</f>
        <v>0</v>
      </c>
      <c r="G46" s="69">
        <f>'додаток 3'!G162</f>
        <v>0</v>
      </c>
      <c r="H46" s="205">
        <f>'додаток 3'!H162</f>
        <v>0</v>
      </c>
      <c r="I46" s="70">
        <f>'додаток 3'!I162</f>
        <v>0</v>
      </c>
      <c r="J46" s="70">
        <f>'додаток 3'!J162</f>
        <v>0</v>
      </c>
      <c r="K46" s="70">
        <f>'додаток 3'!K162</f>
        <v>0</v>
      </c>
      <c r="L46" s="70">
        <f>'додаток 3'!L162</f>
        <v>0</v>
      </c>
      <c r="M46" s="70">
        <f>'додаток 3'!M162</f>
        <v>0</v>
      </c>
      <c r="N46" s="69">
        <f t="shared" si="2"/>
        <v>2270000</v>
      </c>
      <c r="O46" s="127">
        <f t="shared" si="3"/>
        <v>2270000</v>
      </c>
    </row>
    <row r="47" spans="1:15" ht="63">
      <c r="A47" s="148" t="s">
        <v>245</v>
      </c>
      <c r="B47" s="176" t="s">
        <v>246</v>
      </c>
      <c r="C47" s="212">
        <f>D47+G47</f>
        <v>16922000</v>
      </c>
      <c r="D47" s="70">
        <f>'додаток 3'!D157</f>
        <v>0</v>
      </c>
      <c r="E47" s="70">
        <f>'додаток 3'!E157</f>
        <v>0</v>
      </c>
      <c r="F47" s="70">
        <f>'додаток 3'!F157</f>
        <v>0</v>
      </c>
      <c r="G47" s="218">
        <f>'додаток 3'!G157</f>
        <v>16922000</v>
      </c>
      <c r="H47" s="205">
        <f>'додаток 3'!H157</f>
        <v>0</v>
      </c>
      <c r="I47" s="70">
        <f>'додаток 3'!I157</f>
        <v>0</v>
      </c>
      <c r="J47" s="70">
        <f>'додаток 3'!J157</f>
        <v>0</v>
      </c>
      <c r="K47" s="70">
        <f>'додаток 3'!K157</f>
        <v>0</v>
      </c>
      <c r="L47" s="70">
        <f>'додаток 3'!L157</f>
        <v>0</v>
      </c>
      <c r="M47" s="70">
        <f>'додаток 3'!M157</f>
        <v>0</v>
      </c>
      <c r="N47" s="69">
        <f t="shared" si="2"/>
        <v>16922000</v>
      </c>
      <c r="O47" s="127">
        <f t="shared" si="3"/>
        <v>16922000</v>
      </c>
    </row>
    <row r="48" spans="1:15" ht="31.5">
      <c r="A48" s="148" t="s">
        <v>225</v>
      </c>
      <c r="B48" s="197" t="s">
        <v>307</v>
      </c>
      <c r="C48" s="212">
        <f>D48+G48</f>
        <v>1000000</v>
      </c>
      <c r="D48" s="70">
        <f>'додаток 3'!D158</f>
        <v>0</v>
      </c>
      <c r="E48" s="70">
        <f>'додаток 3'!E158</f>
        <v>0</v>
      </c>
      <c r="F48" s="70">
        <f>'додаток 3'!F158</f>
        <v>0</v>
      </c>
      <c r="G48" s="218">
        <f>'додаток 3'!G158</f>
        <v>1000000</v>
      </c>
      <c r="H48" s="169">
        <f>'додаток 3'!H158</f>
        <v>0</v>
      </c>
      <c r="I48" s="70">
        <f>'додаток 3'!I158</f>
        <v>0</v>
      </c>
      <c r="J48" s="70">
        <f>'додаток 3'!J158</f>
        <v>0</v>
      </c>
      <c r="K48" s="70">
        <f>'додаток 3'!K158</f>
        <v>0</v>
      </c>
      <c r="L48" s="70">
        <f>'додаток 3'!L158</f>
        <v>0</v>
      </c>
      <c r="M48" s="70">
        <f>'додаток 3'!M158</f>
        <v>0</v>
      </c>
      <c r="N48" s="69">
        <f t="shared" si="2"/>
        <v>1000000</v>
      </c>
      <c r="O48" s="127"/>
    </row>
    <row r="49" spans="1:15" ht="15.75">
      <c r="A49" s="165" t="s">
        <v>49</v>
      </c>
      <c r="B49" s="175" t="s">
        <v>127</v>
      </c>
      <c r="C49" s="212">
        <f>D49+G49</f>
        <v>259400</v>
      </c>
      <c r="D49" s="123">
        <f>D50+D51</f>
        <v>259400</v>
      </c>
      <c r="E49" s="123">
        <f aca="true" t="shared" si="15" ref="E49:M49">E50+E51</f>
        <v>86200</v>
      </c>
      <c r="F49" s="123">
        <f t="shared" si="15"/>
        <v>11400</v>
      </c>
      <c r="G49" s="218">
        <f t="shared" si="15"/>
        <v>0</v>
      </c>
      <c r="H49" s="207">
        <f t="shared" si="15"/>
        <v>0</v>
      </c>
      <c r="I49" s="123">
        <f t="shared" si="15"/>
        <v>0</v>
      </c>
      <c r="J49" s="123">
        <f t="shared" si="15"/>
        <v>0</v>
      </c>
      <c r="K49" s="123">
        <f t="shared" si="15"/>
        <v>0</v>
      </c>
      <c r="L49" s="123">
        <f t="shared" si="15"/>
        <v>0</v>
      </c>
      <c r="M49" s="123">
        <f t="shared" si="15"/>
        <v>0</v>
      </c>
      <c r="N49" s="69">
        <f t="shared" si="2"/>
        <v>259400</v>
      </c>
      <c r="O49" s="127">
        <f>C49+H49</f>
        <v>259400</v>
      </c>
    </row>
    <row r="50" spans="1:15" ht="45">
      <c r="A50" s="161"/>
      <c r="B50" s="175" t="s">
        <v>140</v>
      </c>
      <c r="C50" s="212">
        <f t="shared" si="12"/>
        <v>159400</v>
      </c>
      <c r="D50" s="71">
        <f>'додаток 3'!D23</f>
        <v>159400</v>
      </c>
      <c r="E50" s="71">
        <f>'додаток 3'!E23</f>
        <v>86200</v>
      </c>
      <c r="F50" s="71">
        <f>'додаток 3'!F23</f>
        <v>11400</v>
      </c>
      <c r="G50" s="217">
        <f>'додаток 3'!G23</f>
        <v>0</v>
      </c>
      <c r="H50" s="204">
        <f>'додаток 3'!H23</f>
        <v>0</v>
      </c>
      <c r="I50" s="71">
        <f>'додаток 3'!I23</f>
        <v>0</v>
      </c>
      <c r="J50" s="71">
        <f>'додаток 3'!J23</f>
        <v>0</v>
      </c>
      <c r="K50" s="71">
        <f>'додаток 3'!K23</f>
        <v>0</v>
      </c>
      <c r="L50" s="71">
        <f>'додаток 3'!L23</f>
        <v>0</v>
      </c>
      <c r="M50" s="71">
        <f>'додаток 3'!M23</f>
        <v>0</v>
      </c>
      <c r="N50" s="69">
        <f t="shared" si="2"/>
        <v>159400</v>
      </c>
      <c r="O50" s="127">
        <f aca="true" t="shared" si="16" ref="O50:O70">C50+H50</f>
        <v>159400</v>
      </c>
    </row>
    <row r="51" spans="1:15" ht="63">
      <c r="A51" s="161"/>
      <c r="B51" s="138" t="s">
        <v>309</v>
      </c>
      <c r="C51" s="212">
        <f t="shared" si="12"/>
        <v>100000</v>
      </c>
      <c r="D51" s="71">
        <f>'додаток 3'!D14</f>
        <v>100000</v>
      </c>
      <c r="E51" s="71">
        <f>'додаток 3'!E14</f>
        <v>0</v>
      </c>
      <c r="F51" s="71">
        <f>'додаток 3'!F14</f>
        <v>0</v>
      </c>
      <c r="G51" s="217">
        <f>'додаток 3'!G14</f>
        <v>0</v>
      </c>
      <c r="H51" s="208">
        <f>'додаток 3'!H14</f>
        <v>0</v>
      </c>
      <c r="I51" s="71">
        <f>'додаток 3'!I14</f>
        <v>0</v>
      </c>
      <c r="J51" s="71">
        <f>'додаток 3'!J14</f>
        <v>0</v>
      </c>
      <c r="K51" s="71">
        <f>'додаток 3'!K14</f>
        <v>0</v>
      </c>
      <c r="L51" s="71">
        <f>'додаток 3'!L14</f>
        <v>0</v>
      </c>
      <c r="M51" s="71">
        <f>'додаток 3'!M14</f>
        <v>0</v>
      </c>
      <c r="N51" s="69">
        <f t="shared" si="2"/>
        <v>100000</v>
      </c>
      <c r="O51" s="127"/>
    </row>
    <row r="52" spans="1:15" ht="17.25" customHeight="1">
      <c r="A52" s="166"/>
      <c r="B52" s="177" t="s">
        <v>18</v>
      </c>
      <c r="C52" s="212">
        <f t="shared" si="12"/>
        <v>0</v>
      </c>
      <c r="D52" s="85"/>
      <c r="E52" s="85"/>
      <c r="F52" s="85"/>
      <c r="G52" s="215"/>
      <c r="H52" s="204">
        <f aca="true" t="shared" si="17" ref="H52:M52">H53</f>
        <v>-18565838</v>
      </c>
      <c r="I52" s="85">
        <f t="shared" si="17"/>
        <v>0</v>
      </c>
      <c r="J52" s="85">
        <f t="shared" si="17"/>
        <v>0</v>
      </c>
      <c r="K52" s="85">
        <f t="shared" si="17"/>
        <v>0</v>
      </c>
      <c r="L52" s="85">
        <f t="shared" si="17"/>
        <v>0</v>
      </c>
      <c r="M52" s="85">
        <f t="shared" si="17"/>
        <v>-18565838</v>
      </c>
      <c r="N52" s="69">
        <f t="shared" si="2"/>
        <v>-18565838</v>
      </c>
      <c r="O52" s="127">
        <f t="shared" si="16"/>
        <v>-18565838</v>
      </c>
    </row>
    <row r="53" spans="1:15" ht="15.75">
      <c r="A53" s="161" t="s">
        <v>119</v>
      </c>
      <c r="B53" s="175" t="s">
        <v>232</v>
      </c>
      <c r="C53" s="212">
        <f t="shared" si="12"/>
        <v>0</v>
      </c>
      <c r="D53" s="71"/>
      <c r="E53" s="71"/>
      <c r="F53" s="71"/>
      <c r="G53" s="217"/>
      <c r="H53" s="204">
        <f aca="true" t="shared" si="18" ref="H53:M53">SUM(H54:H55)</f>
        <v>-18565838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122">
        <f t="shared" si="18"/>
        <v>-18565838</v>
      </c>
      <c r="N53" s="69">
        <f t="shared" si="2"/>
        <v>-18565838</v>
      </c>
      <c r="O53" s="127">
        <f t="shared" si="16"/>
        <v>-18565838</v>
      </c>
    </row>
    <row r="54" spans="1:15" ht="30">
      <c r="A54" s="161"/>
      <c r="B54" s="175" t="s">
        <v>19</v>
      </c>
      <c r="C54" s="212">
        <f>'додаток 3'!C164</f>
        <v>0</v>
      </c>
      <c r="D54" s="70">
        <f>'додаток 3'!D164</f>
        <v>0</v>
      </c>
      <c r="E54" s="70">
        <f>'додаток 3'!E164</f>
        <v>0</v>
      </c>
      <c r="F54" s="70">
        <f>'додаток 3'!F164</f>
        <v>0</v>
      </c>
      <c r="G54" s="69">
        <f>'додаток 3'!G164</f>
        <v>0</v>
      </c>
      <c r="H54" s="205">
        <f>'додаток 3'!H164</f>
        <v>-18560949</v>
      </c>
      <c r="I54" s="70">
        <f>'додаток 3'!I164</f>
        <v>0</v>
      </c>
      <c r="J54" s="70">
        <f>'додаток 3'!J164</f>
        <v>0</v>
      </c>
      <c r="K54" s="70">
        <f>'додаток 3'!K164</f>
        <v>0</v>
      </c>
      <c r="L54" s="70">
        <f>'додаток 3'!L164</f>
        <v>0</v>
      </c>
      <c r="M54" s="123">
        <f>'додаток 3'!M164</f>
        <v>-18560949</v>
      </c>
      <c r="N54" s="69">
        <f t="shared" si="2"/>
        <v>-18560949</v>
      </c>
      <c r="O54" s="127">
        <f t="shared" si="16"/>
        <v>-18560949</v>
      </c>
    </row>
    <row r="55" spans="1:15" ht="15.75">
      <c r="A55" s="161"/>
      <c r="B55" s="175" t="s">
        <v>20</v>
      </c>
      <c r="C55" s="212">
        <f>'додаток 3'!C166</f>
        <v>0</v>
      </c>
      <c r="D55" s="70">
        <f>'додаток 3'!D166</f>
        <v>0</v>
      </c>
      <c r="E55" s="70">
        <f>'додаток 3'!E166</f>
        <v>0</v>
      </c>
      <c r="F55" s="70">
        <f>'додаток 3'!F166</f>
        <v>0</v>
      </c>
      <c r="G55" s="69">
        <f>'додаток 3'!G166</f>
        <v>0</v>
      </c>
      <c r="H55" s="205">
        <f>'додаток 3'!H166</f>
        <v>-4889</v>
      </c>
      <c r="I55" s="70">
        <f>'додаток 3'!I166</f>
        <v>0</v>
      </c>
      <c r="J55" s="70">
        <f>'додаток 3'!J166</f>
        <v>0</v>
      </c>
      <c r="K55" s="70">
        <f>'додаток 3'!K166</f>
        <v>0</v>
      </c>
      <c r="L55" s="70">
        <f>'додаток 3'!L166</f>
        <v>0</v>
      </c>
      <c r="M55" s="123">
        <f>'додаток 3'!M166</f>
        <v>-4889</v>
      </c>
      <c r="N55" s="69">
        <f t="shared" si="2"/>
        <v>-4889</v>
      </c>
      <c r="O55" s="127">
        <f t="shared" si="16"/>
        <v>-4889</v>
      </c>
    </row>
    <row r="56" spans="1:15" ht="76.5" customHeight="1">
      <c r="A56" s="161" t="s">
        <v>173</v>
      </c>
      <c r="B56" s="175" t="s">
        <v>174</v>
      </c>
      <c r="C56" s="212">
        <f t="shared" si="12"/>
        <v>150000</v>
      </c>
      <c r="D56" s="71">
        <f>'додаток 3'!D155</f>
        <v>150000</v>
      </c>
      <c r="E56" s="71"/>
      <c r="F56" s="71"/>
      <c r="G56" s="217"/>
      <c r="H56" s="204"/>
      <c r="I56" s="71"/>
      <c r="J56" s="71"/>
      <c r="K56" s="71"/>
      <c r="L56" s="71"/>
      <c r="M56" s="71"/>
      <c r="N56" s="69">
        <f t="shared" si="2"/>
        <v>150000</v>
      </c>
      <c r="O56" s="127">
        <f t="shared" si="16"/>
        <v>150000</v>
      </c>
    </row>
    <row r="57" spans="1:15" s="55" customFormat="1" ht="18.75">
      <c r="A57" s="160"/>
      <c r="B57" s="171" t="s">
        <v>145</v>
      </c>
      <c r="C57" s="219">
        <f>C12+C14+C15+C16+C17+C18+C25+C26+C29+C32+C34+C37+C39+C41+C45</f>
        <v>560020800</v>
      </c>
      <c r="D57" s="220">
        <f aca="true" t="shared" si="19" ref="D57:N57">D12+D14+D15+D16+D17+D18+D25+D26+D29+D32+D34+D37+D39+D41+D45</f>
        <v>511804441</v>
      </c>
      <c r="E57" s="220">
        <f t="shared" si="19"/>
        <v>246904184</v>
      </c>
      <c r="F57" s="220">
        <f t="shared" si="19"/>
        <v>39027981</v>
      </c>
      <c r="G57" s="221">
        <f t="shared" si="19"/>
        <v>45946359</v>
      </c>
      <c r="H57" s="170">
        <f t="shared" si="19"/>
        <v>57555800</v>
      </c>
      <c r="I57" s="170">
        <f t="shared" si="19"/>
        <v>31747957</v>
      </c>
      <c r="J57" s="170">
        <f t="shared" si="19"/>
        <v>1197126</v>
      </c>
      <c r="K57" s="170">
        <f t="shared" si="19"/>
        <v>519150</v>
      </c>
      <c r="L57" s="170">
        <f t="shared" si="19"/>
        <v>44373681</v>
      </c>
      <c r="M57" s="170">
        <f t="shared" si="19"/>
        <v>16922000</v>
      </c>
      <c r="N57" s="235">
        <f t="shared" si="19"/>
        <v>617576600</v>
      </c>
      <c r="O57" s="127">
        <f t="shared" si="16"/>
        <v>617576600</v>
      </c>
    </row>
    <row r="58" spans="1:15" s="40" customFormat="1" ht="18.75">
      <c r="A58" s="160"/>
      <c r="B58" s="171" t="s">
        <v>125</v>
      </c>
      <c r="C58" s="222">
        <f>C59+C60+C61+C62+C63+C64+C65+C66+C68+C69</f>
        <v>945858300</v>
      </c>
      <c r="D58" s="88">
        <f aca="true" t="shared" si="20" ref="D58:M58">D59+D60+D61+D62+D63+D64+D65+D66+D68+D69</f>
        <v>943407300</v>
      </c>
      <c r="E58" s="88">
        <f t="shared" si="20"/>
        <v>0</v>
      </c>
      <c r="F58" s="88">
        <f t="shared" si="20"/>
        <v>0</v>
      </c>
      <c r="G58" s="185">
        <f t="shared" si="20"/>
        <v>2451000</v>
      </c>
      <c r="H58" s="209">
        <f t="shared" si="20"/>
        <v>72163800</v>
      </c>
      <c r="I58" s="88">
        <f t="shared" si="20"/>
        <v>72163800</v>
      </c>
      <c r="J58" s="88">
        <f t="shared" si="20"/>
        <v>0</v>
      </c>
      <c r="K58" s="88">
        <f t="shared" si="20"/>
        <v>0</v>
      </c>
      <c r="L58" s="88">
        <f t="shared" si="20"/>
        <v>0</v>
      </c>
      <c r="M58" s="88">
        <f t="shared" si="20"/>
        <v>0</v>
      </c>
      <c r="N58" s="185">
        <f aca="true" t="shared" si="21" ref="N58:N68">H58+C58</f>
        <v>1018022100</v>
      </c>
      <c r="O58" s="127">
        <f t="shared" si="16"/>
        <v>1018022100</v>
      </c>
    </row>
    <row r="59" spans="1:15" ht="45.75" customHeight="1">
      <c r="A59" s="150" t="s">
        <v>236</v>
      </c>
      <c r="B59" s="178" t="s">
        <v>235</v>
      </c>
      <c r="C59" s="107">
        <f>'додаток 3'!C180</f>
        <v>14830600</v>
      </c>
      <c r="D59" s="105">
        <f>'додаток 3'!D180</f>
        <v>14830600</v>
      </c>
      <c r="E59" s="86">
        <f>'додаток 3'!E180</f>
        <v>0</v>
      </c>
      <c r="F59" s="86">
        <f>'додаток 3'!F180</f>
        <v>0</v>
      </c>
      <c r="G59" s="87">
        <f>'додаток 3'!G180</f>
        <v>0</v>
      </c>
      <c r="H59" s="210">
        <f>'додаток 3'!H180</f>
        <v>0</v>
      </c>
      <c r="I59" s="86">
        <f>'додаток 3'!I180</f>
        <v>0</v>
      </c>
      <c r="J59" s="86">
        <f>'додаток 3'!J180</f>
        <v>0</v>
      </c>
      <c r="K59" s="86">
        <f>'додаток 3'!K180</f>
        <v>0</v>
      </c>
      <c r="L59" s="86">
        <f>'додаток 3'!L180</f>
        <v>0</v>
      </c>
      <c r="M59" s="86">
        <f>'додаток 3'!M180</f>
        <v>0</v>
      </c>
      <c r="N59" s="87">
        <f t="shared" si="21"/>
        <v>14830600</v>
      </c>
      <c r="O59" s="127">
        <f t="shared" si="16"/>
        <v>14830600</v>
      </c>
    </row>
    <row r="60" spans="1:15" ht="110.25" customHeight="1">
      <c r="A60" s="150">
        <v>250326</v>
      </c>
      <c r="B60" s="172" t="s">
        <v>206</v>
      </c>
      <c r="C60" s="107">
        <f>'додаток 3'!C172</f>
        <v>795046200</v>
      </c>
      <c r="D60" s="105">
        <f>'додаток 3'!D172</f>
        <v>795046200</v>
      </c>
      <c r="E60" s="86">
        <f>'додаток 3'!E172</f>
        <v>0</v>
      </c>
      <c r="F60" s="86">
        <f>'додаток 3'!F172</f>
        <v>0</v>
      </c>
      <c r="G60" s="87">
        <f>'додаток 3'!G172</f>
        <v>0</v>
      </c>
      <c r="H60" s="210">
        <f>'додаток 3'!H172</f>
        <v>0</v>
      </c>
      <c r="I60" s="86">
        <f>'додаток 3'!I172</f>
        <v>0</v>
      </c>
      <c r="J60" s="86">
        <f>'додаток 3'!J172</f>
        <v>0</v>
      </c>
      <c r="K60" s="86">
        <f>'додаток 3'!K172</f>
        <v>0</v>
      </c>
      <c r="L60" s="86">
        <f>'додаток 3'!L172</f>
        <v>0</v>
      </c>
      <c r="M60" s="86">
        <f>'додаток 3'!M172</f>
        <v>0</v>
      </c>
      <c r="N60" s="87">
        <f t="shared" si="21"/>
        <v>795046200</v>
      </c>
      <c r="O60" s="127">
        <f t="shared" si="16"/>
        <v>795046200</v>
      </c>
    </row>
    <row r="61" spans="1:15" ht="138.75" customHeight="1">
      <c r="A61" s="150">
        <v>250328</v>
      </c>
      <c r="B61" s="179" t="s">
        <v>274</v>
      </c>
      <c r="C61" s="107">
        <f>'додаток 3'!C181</f>
        <v>46455600</v>
      </c>
      <c r="D61" s="105">
        <f>'додаток 3'!D181</f>
        <v>46455600</v>
      </c>
      <c r="E61" s="86">
        <f>'додаток 3'!E181</f>
        <v>0</v>
      </c>
      <c r="F61" s="86">
        <f>'додаток 3'!F181</f>
        <v>0</v>
      </c>
      <c r="G61" s="87">
        <f>'додаток 3'!G181</f>
        <v>0</v>
      </c>
      <c r="H61" s="210">
        <f>'додаток 3'!H181</f>
        <v>71757200</v>
      </c>
      <c r="I61" s="105">
        <f>'додаток 3'!I181</f>
        <v>71757200</v>
      </c>
      <c r="J61" s="86">
        <f>'додаток 3'!J181</f>
        <v>0</v>
      </c>
      <c r="K61" s="86">
        <f>'додаток 3'!K181</f>
        <v>0</v>
      </c>
      <c r="L61" s="86">
        <f>'додаток 3'!L181</f>
        <v>0</v>
      </c>
      <c r="M61" s="86">
        <f>'додаток 3'!M181</f>
        <v>0</v>
      </c>
      <c r="N61" s="87">
        <f t="shared" si="21"/>
        <v>118212800</v>
      </c>
      <c r="O61" s="127">
        <f t="shared" si="16"/>
        <v>118212800</v>
      </c>
    </row>
    <row r="62" spans="1:15" ht="240.75" customHeight="1">
      <c r="A62" s="150" t="s">
        <v>130</v>
      </c>
      <c r="B62" s="180" t="s">
        <v>240</v>
      </c>
      <c r="C62" s="107">
        <f>'додаток 3'!C182</f>
        <v>29126800</v>
      </c>
      <c r="D62" s="105">
        <f>'додаток 3'!D182</f>
        <v>29126800</v>
      </c>
      <c r="E62" s="86">
        <f>'додаток 3'!E182</f>
        <v>0</v>
      </c>
      <c r="F62" s="86">
        <f>'додаток 3'!F182</f>
        <v>0</v>
      </c>
      <c r="G62" s="87">
        <f>'додаток 3'!G182</f>
        <v>0</v>
      </c>
      <c r="H62" s="210">
        <f>'додаток 3'!H182</f>
        <v>0</v>
      </c>
      <c r="I62" s="86">
        <f>'додаток 3'!I182</f>
        <v>0</v>
      </c>
      <c r="J62" s="86">
        <f>'додаток 3'!J182</f>
        <v>0</v>
      </c>
      <c r="K62" s="86">
        <f>'додаток 3'!K182</f>
        <v>0</v>
      </c>
      <c r="L62" s="86">
        <f>'додаток 3'!L182</f>
        <v>0</v>
      </c>
      <c r="M62" s="86">
        <f>'додаток 3'!M182</f>
        <v>0</v>
      </c>
      <c r="N62" s="87">
        <f t="shared" si="21"/>
        <v>29126800</v>
      </c>
      <c r="O62" s="127">
        <f t="shared" si="16"/>
        <v>29126800</v>
      </c>
    </row>
    <row r="63" spans="1:15" ht="90">
      <c r="A63" s="150" t="s">
        <v>129</v>
      </c>
      <c r="B63" s="179" t="s">
        <v>231</v>
      </c>
      <c r="C63" s="107">
        <f>'додаток 3'!C183</f>
        <v>37110200</v>
      </c>
      <c r="D63" s="105">
        <f>'додаток 3'!D183</f>
        <v>37110200</v>
      </c>
      <c r="E63" s="86">
        <f>'додаток 3'!E183</f>
        <v>0</v>
      </c>
      <c r="F63" s="86">
        <f>'додаток 3'!F183</f>
        <v>0</v>
      </c>
      <c r="G63" s="87">
        <f>'додаток 3'!G183</f>
        <v>0</v>
      </c>
      <c r="H63" s="210">
        <f>'додаток 3'!H183</f>
        <v>0</v>
      </c>
      <c r="I63" s="86">
        <f>'додаток 3'!I183</f>
        <v>0</v>
      </c>
      <c r="J63" s="86">
        <f>'додаток 3'!J183</f>
        <v>0</v>
      </c>
      <c r="K63" s="86">
        <f>'додаток 3'!K183</f>
        <v>0</v>
      </c>
      <c r="L63" s="86">
        <f>'додаток 3'!L183</f>
        <v>0</v>
      </c>
      <c r="M63" s="86">
        <f>'додаток 3'!M183</f>
        <v>0</v>
      </c>
      <c r="N63" s="87">
        <f t="shared" si="21"/>
        <v>37110200</v>
      </c>
      <c r="O63" s="127">
        <f t="shared" si="16"/>
        <v>37110200</v>
      </c>
    </row>
    <row r="64" spans="1:15" ht="193.5" customHeight="1">
      <c r="A64" s="150" t="s">
        <v>166</v>
      </c>
      <c r="B64" s="181" t="s">
        <v>234</v>
      </c>
      <c r="C64" s="107">
        <f>'додаток 3'!C173</f>
        <v>0</v>
      </c>
      <c r="D64" s="86">
        <f>'додаток 3'!D173</f>
        <v>0</v>
      </c>
      <c r="E64" s="86">
        <f>'додаток 3'!E173</f>
        <v>0</v>
      </c>
      <c r="F64" s="86">
        <f>'додаток 3'!F173</f>
        <v>0</v>
      </c>
      <c r="G64" s="87">
        <f>'додаток 3'!G173</f>
        <v>0</v>
      </c>
      <c r="H64" s="210">
        <f>'додаток 3'!H173</f>
        <v>406600</v>
      </c>
      <c r="I64" s="105">
        <f>'додаток 3'!I173</f>
        <v>406600</v>
      </c>
      <c r="J64" s="86">
        <f>'додаток 3'!J173</f>
        <v>0</v>
      </c>
      <c r="K64" s="86">
        <f>'додаток 3'!K173</f>
        <v>0</v>
      </c>
      <c r="L64" s="105">
        <f>'додаток 3'!L173</f>
        <v>0</v>
      </c>
      <c r="M64" s="86">
        <f>'додаток 3'!M173</f>
        <v>0</v>
      </c>
      <c r="N64" s="87">
        <f t="shared" si="21"/>
        <v>406600</v>
      </c>
      <c r="O64" s="127">
        <f t="shared" si="16"/>
        <v>406600</v>
      </c>
    </row>
    <row r="65" spans="1:15" ht="168.75" customHeight="1">
      <c r="A65" s="150" t="s">
        <v>192</v>
      </c>
      <c r="B65" s="182" t="s">
        <v>200</v>
      </c>
      <c r="C65" s="107">
        <f>'додаток 3'!C178</f>
        <v>4549500</v>
      </c>
      <c r="D65" s="105">
        <f>'додаток 3'!D178</f>
        <v>4549500</v>
      </c>
      <c r="E65" s="86">
        <f>'додаток 3'!E178</f>
        <v>0</v>
      </c>
      <c r="F65" s="86">
        <f>'додаток 3'!F178</f>
        <v>0</v>
      </c>
      <c r="G65" s="87">
        <f>'додаток 3'!G178</f>
        <v>0</v>
      </c>
      <c r="H65" s="210">
        <f>'додаток 3'!H178</f>
        <v>0</v>
      </c>
      <c r="I65" s="86">
        <f>'додаток 3'!I178</f>
        <v>0</v>
      </c>
      <c r="J65" s="86">
        <f>'додаток 3'!J178</f>
        <v>0</v>
      </c>
      <c r="K65" s="86">
        <f>'додаток 3'!K178</f>
        <v>0</v>
      </c>
      <c r="L65" s="86">
        <f>'додаток 3'!L178</f>
        <v>0</v>
      </c>
      <c r="M65" s="86">
        <f>'додаток 3'!M178</f>
        <v>0</v>
      </c>
      <c r="N65" s="87">
        <f t="shared" si="21"/>
        <v>4549500</v>
      </c>
      <c r="O65" s="127">
        <f t="shared" si="16"/>
        <v>4549500</v>
      </c>
    </row>
    <row r="66" spans="1:15" ht="16.5">
      <c r="A66" s="148" t="s">
        <v>189</v>
      </c>
      <c r="B66" s="183" t="s">
        <v>190</v>
      </c>
      <c r="C66" s="107">
        <f>D66+G66</f>
        <v>16282400</v>
      </c>
      <c r="D66" s="105">
        <f>D67</f>
        <v>16282400</v>
      </c>
      <c r="E66" s="105">
        <f aca="true" t="shared" si="22" ref="E66:M66">E67</f>
        <v>0</v>
      </c>
      <c r="F66" s="105">
        <f t="shared" si="22"/>
        <v>0</v>
      </c>
      <c r="G66" s="223">
        <f t="shared" si="22"/>
        <v>0</v>
      </c>
      <c r="H66" s="210">
        <f t="shared" si="22"/>
        <v>0</v>
      </c>
      <c r="I66" s="105">
        <f t="shared" si="22"/>
        <v>0</v>
      </c>
      <c r="J66" s="105">
        <f t="shared" si="22"/>
        <v>0</v>
      </c>
      <c r="K66" s="105">
        <f t="shared" si="22"/>
        <v>0</v>
      </c>
      <c r="L66" s="105">
        <f t="shared" si="22"/>
        <v>0</v>
      </c>
      <c r="M66" s="105">
        <f t="shared" si="22"/>
        <v>0</v>
      </c>
      <c r="N66" s="87">
        <f t="shared" si="21"/>
        <v>16282400</v>
      </c>
      <c r="O66" s="127">
        <f t="shared" si="16"/>
        <v>16282400</v>
      </c>
    </row>
    <row r="67" spans="1:15" ht="43.5" customHeight="1">
      <c r="A67" s="148" t="s">
        <v>225</v>
      </c>
      <c r="B67" s="183" t="s">
        <v>194</v>
      </c>
      <c r="C67" s="107">
        <f>D67+G67</f>
        <v>16282400</v>
      </c>
      <c r="D67" s="105">
        <f>'додаток 3'!D174</f>
        <v>16282400</v>
      </c>
      <c r="E67" s="86">
        <f>'додаток 3'!E174</f>
        <v>0</v>
      </c>
      <c r="F67" s="86">
        <f>'додаток 3'!F174</f>
        <v>0</v>
      </c>
      <c r="G67" s="87">
        <f>'додаток 3'!G174</f>
        <v>0</v>
      </c>
      <c r="H67" s="210">
        <f>'додаток 3'!H174</f>
        <v>0</v>
      </c>
      <c r="I67" s="86">
        <f>'додаток 3'!I174</f>
        <v>0</v>
      </c>
      <c r="J67" s="86">
        <f>'додаток 3'!J174</f>
        <v>0</v>
      </c>
      <c r="K67" s="86">
        <f>'додаток 3'!K174</f>
        <v>0</v>
      </c>
      <c r="L67" s="86">
        <f>'додаток 3'!L174</f>
        <v>0</v>
      </c>
      <c r="M67" s="86">
        <f>'додаток 3'!M174</f>
        <v>0</v>
      </c>
      <c r="N67" s="87">
        <f t="shared" si="21"/>
        <v>16282400</v>
      </c>
      <c r="O67" s="127">
        <f t="shared" si="16"/>
        <v>16282400</v>
      </c>
    </row>
    <row r="68" spans="1:15" ht="112.5" customHeight="1">
      <c r="A68" s="167"/>
      <c r="B68" s="77" t="s">
        <v>273</v>
      </c>
      <c r="C68" s="107">
        <f>D68+G68</f>
        <v>1377000</v>
      </c>
      <c r="D68" s="105">
        <f>'додаток 3'!D170</f>
        <v>6000</v>
      </c>
      <c r="E68" s="105">
        <f>'додаток 3'!E170</f>
        <v>0</v>
      </c>
      <c r="F68" s="105">
        <f>'додаток 3'!F170</f>
        <v>0</v>
      </c>
      <c r="G68" s="223">
        <f>'додаток 3'!G170</f>
        <v>1371000</v>
      </c>
      <c r="H68" s="210">
        <f>'додаток 3'!H170</f>
        <v>0</v>
      </c>
      <c r="I68" s="105">
        <f>'додаток 3'!I170</f>
        <v>0</v>
      </c>
      <c r="J68" s="105">
        <f>'додаток 3'!J170</f>
        <v>0</v>
      </c>
      <c r="K68" s="105">
        <f>'додаток 3'!K170</f>
        <v>0</v>
      </c>
      <c r="L68" s="105">
        <f>'додаток 3'!L170</f>
        <v>0</v>
      </c>
      <c r="M68" s="105">
        <f>'додаток 3'!M170</f>
        <v>0</v>
      </c>
      <c r="N68" s="87">
        <f t="shared" si="21"/>
        <v>1377000</v>
      </c>
      <c r="O68" s="127">
        <f t="shared" si="16"/>
        <v>1377000</v>
      </c>
    </row>
    <row r="69" spans="1:15" ht="114" customHeight="1">
      <c r="A69" s="148"/>
      <c r="B69" s="78" t="s">
        <v>300</v>
      </c>
      <c r="C69" s="107">
        <f>D69+G69</f>
        <v>1080000</v>
      </c>
      <c r="D69" s="105">
        <f>'додаток 3'!D176</f>
        <v>0</v>
      </c>
      <c r="E69" s="105">
        <f>'додаток 3'!E176</f>
        <v>0</v>
      </c>
      <c r="F69" s="105">
        <f>'додаток 3'!F176</f>
        <v>0</v>
      </c>
      <c r="G69" s="223">
        <f>'додаток 3'!G176</f>
        <v>1080000</v>
      </c>
      <c r="H69" s="210">
        <f>'додаток 3'!H176</f>
        <v>0</v>
      </c>
      <c r="I69" s="105">
        <f>'додаток 3'!I176</f>
        <v>0</v>
      </c>
      <c r="J69" s="105">
        <f>'додаток 3'!J176</f>
        <v>0</v>
      </c>
      <c r="K69" s="105">
        <f>'додаток 3'!K176</f>
        <v>0</v>
      </c>
      <c r="L69" s="105">
        <f>'додаток 3'!L176</f>
        <v>0</v>
      </c>
      <c r="M69" s="105">
        <f>'додаток 3'!M176</f>
        <v>0</v>
      </c>
      <c r="N69" s="87">
        <f>C69+H69</f>
        <v>1080000</v>
      </c>
      <c r="O69" s="127"/>
    </row>
    <row r="70" spans="1:15" s="39" customFormat="1" ht="20.25" thickBot="1">
      <c r="A70" s="168"/>
      <c r="B70" s="184" t="s">
        <v>182</v>
      </c>
      <c r="C70" s="224">
        <f>C57+C58</f>
        <v>1505879100</v>
      </c>
      <c r="D70" s="194">
        <f aca="true" t="shared" si="23" ref="D70:N70">D57+D58</f>
        <v>1455211741</v>
      </c>
      <c r="E70" s="194">
        <f t="shared" si="23"/>
        <v>246904184</v>
      </c>
      <c r="F70" s="194">
        <f t="shared" si="23"/>
        <v>39027981</v>
      </c>
      <c r="G70" s="195">
        <f t="shared" si="23"/>
        <v>48397359</v>
      </c>
      <c r="H70" s="193">
        <f t="shared" si="23"/>
        <v>129719600</v>
      </c>
      <c r="I70" s="194">
        <f t="shared" si="23"/>
        <v>103911757</v>
      </c>
      <c r="J70" s="194">
        <f t="shared" si="23"/>
        <v>1197126</v>
      </c>
      <c r="K70" s="194">
        <f t="shared" si="23"/>
        <v>519150</v>
      </c>
      <c r="L70" s="194">
        <f t="shared" si="23"/>
        <v>44373681</v>
      </c>
      <c r="M70" s="194">
        <f t="shared" si="23"/>
        <v>16922000</v>
      </c>
      <c r="N70" s="195">
        <f t="shared" si="23"/>
        <v>1635598700</v>
      </c>
      <c r="O70" s="127">
        <f t="shared" si="16"/>
        <v>1635598700</v>
      </c>
    </row>
    <row r="71" ht="12.75">
      <c r="A71" s="14"/>
    </row>
    <row r="72" spans="1:14" ht="15.75">
      <c r="A72" s="14"/>
      <c r="C72" s="27"/>
      <c r="D72" s="28"/>
      <c r="E72" s="28"/>
      <c r="F72" s="28"/>
      <c r="G72" s="28"/>
      <c r="H72" s="27"/>
      <c r="I72" s="28"/>
      <c r="J72" s="28"/>
      <c r="K72" s="28"/>
      <c r="L72" s="28"/>
      <c r="M72" s="28"/>
      <c r="N72" s="27"/>
    </row>
    <row r="73" spans="1:14" ht="31.5" customHeight="1">
      <c r="A73" s="14"/>
      <c r="B73" s="256" t="s">
        <v>142</v>
      </c>
      <c r="C73" s="256"/>
      <c r="D73" s="256"/>
      <c r="E73" s="31"/>
      <c r="F73" s="32"/>
      <c r="G73" s="33"/>
      <c r="H73" s="34"/>
      <c r="I73" s="33"/>
      <c r="J73" s="280" t="s">
        <v>266</v>
      </c>
      <c r="K73" s="280"/>
      <c r="L73" s="28"/>
      <c r="M73" s="28"/>
      <c r="N73" s="59"/>
    </row>
    <row r="74" spans="1:14" ht="15.75">
      <c r="A74" s="14"/>
      <c r="C74" s="27"/>
      <c r="D74" s="28"/>
      <c r="E74" s="28"/>
      <c r="F74" s="28"/>
      <c r="G74" s="28"/>
      <c r="H74" s="27"/>
      <c r="I74" s="28"/>
      <c r="J74" s="28"/>
      <c r="K74" s="28"/>
      <c r="L74" s="28"/>
      <c r="M74" s="28"/>
      <c r="N74" s="27"/>
    </row>
    <row r="75" spans="1:14" ht="15.75">
      <c r="A75" s="14"/>
      <c r="B75" s="130"/>
      <c r="C75" s="29">
        <f>C70-'додаток 3'!C184</f>
        <v>0</v>
      </c>
      <c r="D75" s="8">
        <f>D70-'додаток 3'!D184</f>
        <v>0</v>
      </c>
      <c r="E75" s="8">
        <f>E70-'додаток 3'!E184</f>
        <v>0</v>
      </c>
      <c r="F75" s="8">
        <f>F70-'додаток 3'!F184</f>
        <v>0</v>
      </c>
      <c r="G75" s="8">
        <f>G70-'додаток 3'!G184</f>
        <v>0</v>
      </c>
      <c r="H75" s="12">
        <f>H70-'додаток 3'!H184</f>
        <v>0</v>
      </c>
      <c r="I75" s="8">
        <f>I70-'додаток 3'!I184</f>
        <v>0</v>
      </c>
      <c r="J75" s="8">
        <f>J70-'додаток 3'!J184</f>
        <v>0</v>
      </c>
      <c r="K75" s="8">
        <f>K70-'додаток 3'!K184</f>
        <v>0</v>
      </c>
      <c r="L75" s="8">
        <f>L70-'додаток 3'!L184</f>
        <v>0</v>
      </c>
      <c r="M75" s="8">
        <f>M70-'додаток 3'!M184</f>
        <v>0</v>
      </c>
      <c r="N75" s="12">
        <f>N70-'додаток 3'!N184</f>
        <v>0</v>
      </c>
    </row>
    <row r="76" spans="1:3" ht="15.75">
      <c r="A76" s="14"/>
      <c r="B76" s="131"/>
      <c r="C76" s="29"/>
    </row>
    <row r="77" spans="1:3" ht="15.75">
      <c r="A77" s="14"/>
      <c r="B77" s="131"/>
      <c r="C77" s="29"/>
    </row>
    <row r="78" spans="1:3" ht="15.75">
      <c r="A78" s="14"/>
      <c r="B78" s="131"/>
      <c r="C78" s="29"/>
    </row>
    <row r="79" spans="1:3" ht="15.75">
      <c r="A79" s="14"/>
      <c r="B79" s="131"/>
      <c r="C79" s="29"/>
    </row>
    <row r="80" spans="1:3" ht="15.75">
      <c r="A80" s="14"/>
      <c r="B80" s="131"/>
      <c r="C80" s="29"/>
    </row>
    <row r="81" ht="12.75">
      <c r="A81" s="14"/>
    </row>
    <row r="82" spans="1:13" ht="12.75">
      <c r="A82" s="14"/>
      <c r="C82" s="29"/>
      <c r="H82" s="29"/>
      <c r="M82" s="30"/>
    </row>
    <row r="83" spans="1:3" ht="12.75">
      <c r="A83" s="14"/>
      <c r="C83" s="46"/>
    </row>
    <row r="84" ht="12.75">
      <c r="A84" s="14"/>
    </row>
    <row r="85" spans="1:8" ht="12.75">
      <c r="A85" s="14"/>
      <c r="H85" s="29"/>
    </row>
    <row r="89" ht="12.75">
      <c r="C89" s="29"/>
    </row>
  </sheetData>
  <mergeCells count="18">
    <mergeCell ref="L9:L10"/>
    <mergeCell ref="M9:M10"/>
    <mergeCell ref="E9:F9"/>
    <mergeCell ref="J73:K73"/>
    <mergeCell ref="B73:D73"/>
    <mergeCell ref="B8:B10"/>
    <mergeCell ref="H9:H10"/>
    <mergeCell ref="I9:I10"/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Admin</cp:lastModifiedBy>
  <cp:lastPrinted>2010-05-18T09:31:02Z</cp:lastPrinted>
  <dcterms:created xsi:type="dcterms:W3CDTF">2001-12-29T15:32:18Z</dcterms:created>
  <dcterms:modified xsi:type="dcterms:W3CDTF">2010-11-26T12:42:07Z</dcterms:modified>
  <cp:category/>
  <cp:version/>
  <cp:contentType/>
  <cp:contentStatus/>
</cp:coreProperties>
</file>