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9720" windowHeight="6555" tabRatio="597" activeTab="0"/>
  </bookViews>
  <sheets>
    <sheet name="додаток 3" sheetId="1" r:id="rId1"/>
    <sheet name="додаток 2" sheetId="2" r:id="rId2"/>
  </sheets>
  <externalReferences>
    <externalReference r:id="rId5"/>
  </externalReferences>
  <definedNames>
    <definedName name="_xlnm.Print_Titles" localSheetId="1">'додаток 2'!$8:$11</definedName>
    <definedName name="_xlnm.Print_Titles" localSheetId="0">'додаток 3'!$3:$5</definedName>
    <definedName name="_xlnm.Print_Area" localSheetId="1">'додаток 2'!$A$1:$N$55</definedName>
    <definedName name="_xlnm.Print_Area" localSheetId="0">'додаток 3'!$A$1:$N$121</definedName>
  </definedNames>
  <calcPr fullCalcOnLoad="1"/>
</workbook>
</file>

<file path=xl/sharedStrings.xml><?xml version="1.0" encoding="utf-8"?>
<sst xmlns="http://schemas.openxmlformats.org/spreadsheetml/2006/main" count="326" uniqueCount="239">
  <si>
    <t xml:space="preserve"> за функціональною структурою</t>
  </si>
  <si>
    <t>090000</t>
  </si>
  <si>
    <t>РАЗОМ</t>
  </si>
  <si>
    <t>Видатки загального фонду</t>
  </si>
  <si>
    <t>Всього</t>
  </si>
  <si>
    <t>Видатки спеціального фонду</t>
  </si>
  <si>
    <t>з них</t>
  </si>
  <si>
    <t>Соцiальний захист та соцiальне забезпечення</t>
  </si>
  <si>
    <t xml:space="preserve">Обласна рада </t>
  </si>
  <si>
    <t>Назва головного розпорядника коштів</t>
  </si>
  <si>
    <t>Перший заступник голови обласної ради</t>
  </si>
  <si>
    <t>Код КТКВ</t>
  </si>
  <si>
    <t>(грн.)</t>
  </si>
  <si>
    <t>КТКВ</t>
  </si>
  <si>
    <t>Код головного розпорядника коштів</t>
  </si>
  <si>
    <t>Назва  КТКВ</t>
  </si>
  <si>
    <t>РАЗОМ ВИДАТКІВ</t>
  </si>
  <si>
    <t>001</t>
  </si>
  <si>
    <t>050</t>
  </si>
  <si>
    <t>060</t>
  </si>
  <si>
    <t>191</t>
  </si>
  <si>
    <t>дод 2 разом</t>
  </si>
  <si>
    <t>Відділ у справах сім‘ї та молоді облдержадміністрації</t>
  </si>
  <si>
    <t>Найменування видатків бюджету за функціональною структурою  (за шестизначним кодом)</t>
  </si>
  <si>
    <t>споживання</t>
  </si>
  <si>
    <t>оплата праці</t>
  </si>
  <si>
    <t>комунальні послуги та енергоносії</t>
  </si>
  <si>
    <t>розвитку</t>
  </si>
  <si>
    <t>в тому числі бюджет розвитку</t>
  </si>
  <si>
    <t>14 (3+8)</t>
  </si>
  <si>
    <t>в т.ч.</t>
  </si>
  <si>
    <t>Головне управління праці та соціального захисту населення облдержадміністрації</t>
  </si>
  <si>
    <t>006</t>
  </si>
  <si>
    <t>Обласна державна адміністрація</t>
  </si>
  <si>
    <t>В.А.Королюк</t>
  </si>
  <si>
    <t>до рішення Рівненської обласної  ради</t>
  </si>
  <si>
    <t>від ____________ 2009 року № ______</t>
  </si>
  <si>
    <t xml:space="preserve">Зміни видатків обласного  бюджету  на   2009 рік </t>
  </si>
  <si>
    <t>090901</t>
  </si>
  <si>
    <t>Будинки-iнтернати (пансіонати) для літніх людей та iнвалiдiв системи соцiального захисту</t>
  </si>
  <si>
    <t>010116</t>
  </si>
  <si>
    <t>Утримання обласної ради</t>
  </si>
  <si>
    <t>091108</t>
  </si>
  <si>
    <t>Заходи з оздоровлення та відпочинку дітей, крім заходів з оздоровлення дітей, що здійснюються за рахунок коштів на оздоровлення громадян, які постраждали внаслідок Чорнобильської катастрофи</t>
  </si>
  <si>
    <t xml:space="preserve">Видатки на проведення робіт, пов'язаних з будiвництвом, реконструкцiєю, ремонтом та утриманням автомобiльних дорiг </t>
  </si>
  <si>
    <t>010000</t>
  </si>
  <si>
    <t>Державне управлiння</t>
  </si>
  <si>
    <t>Органи мiсцевого самоврядування</t>
  </si>
  <si>
    <t>Транспорт, дорожнє господарство, зв'язок, телекомунiкацiї та iнформатика</t>
  </si>
  <si>
    <t xml:space="preserve">Видатки на проведення робіт, пов'язаних з будiвництвом, реконструкцiєю, ремонтом i утриманням автомобiльних дорiг </t>
  </si>
  <si>
    <t>Міжбюджетні трансферти</t>
  </si>
  <si>
    <t>додаток 2</t>
  </si>
  <si>
    <t>ВСЬОГО</t>
  </si>
  <si>
    <t>Додаток 2</t>
  </si>
  <si>
    <t>150101</t>
  </si>
  <si>
    <t>Капiтальнi вкладення</t>
  </si>
  <si>
    <t>220</t>
  </si>
  <si>
    <t>Головне фінансове управління облдержадміністрації</t>
  </si>
  <si>
    <t>250306</t>
  </si>
  <si>
    <t>Кошти, що передаються із загального фонду бюджету до бюджету розвитку (спеціального фонду)</t>
  </si>
  <si>
    <t>Будiвництво</t>
  </si>
  <si>
    <t>250000</t>
  </si>
  <si>
    <t>Видатки, не вiднесенi до основних груп</t>
  </si>
  <si>
    <t>090412</t>
  </si>
  <si>
    <t>Інші видатки на соціальний захист населення, з них</t>
  </si>
  <si>
    <t>250388</t>
  </si>
  <si>
    <t>Субвенція з державного бюджету місцевим бюджетам на проведення виборів депутатів Верховної Ради Автономної Республіки Крим, місцевих рад та сільських, селищних, міських голів</t>
  </si>
  <si>
    <t>018</t>
  </si>
  <si>
    <t>Відділ міжнародного співробітництва та європейської інтеграції облдержадміністрації</t>
  </si>
  <si>
    <t>180410</t>
  </si>
  <si>
    <t>Інші заходи, пов'язані з економічною діяльністю</t>
  </si>
  <si>
    <t>Програма розвитку міжнародної і міжрегіональної співпраці на 2007-2009 роки</t>
  </si>
  <si>
    <t>070</t>
  </si>
  <si>
    <t>Управління з питань надзвичайних ситуацій та цивільного захисту населення облдержадміністрації</t>
  </si>
  <si>
    <t>210110</t>
  </si>
  <si>
    <t>Заходи з організації рятування на водах</t>
  </si>
  <si>
    <t>Програма організації рятування людей на водних об'єктах Рівненської області на 2009-2012 роки</t>
  </si>
  <si>
    <t>Обласна програма формування регіонального,місцевих та об"єктових фондів матеріально-технічних резервів для запобігання, ліквідації наслідків надзвичайних ситуацій техногенного та природного характеру на 2006-2010 роки</t>
  </si>
  <si>
    <t>080</t>
  </si>
  <si>
    <t>Головне управління житлово-комунального господарства облдержадміністрації</t>
  </si>
  <si>
    <t>160</t>
  </si>
  <si>
    <t>Головне управління промисловості та розвитку інфраструктури облдержадміністрації</t>
  </si>
  <si>
    <t>180409</t>
  </si>
  <si>
    <t xml:space="preserve">Внески органів влади Автономної Республіки Крим та органів місцевого самоврядування у статутні фонди суб'єктів підприємницької діяльності  </t>
  </si>
  <si>
    <t>020</t>
  </si>
  <si>
    <t>Управління  освіти та науки облдержадміністрації</t>
  </si>
  <si>
    <t>130107</t>
  </si>
  <si>
    <t>Утримання та навчально-тренувальна робота дитячо-юнацьких спортивних шкіл</t>
  </si>
  <si>
    <t>104</t>
  </si>
  <si>
    <t>Управління культури і туризму облдержадміністрації</t>
  </si>
  <si>
    <t>110201</t>
  </si>
  <si>
    <t>Бiблiотеки</t>
  </si>
  <si>
    <t>110502</t>
  </si>
  <si>
    <t>Iншi культурно-освiтнi заклади та заходи</t>
  </si>
  <si>
    <t>250404</t>
  </si>
  <si>
    <t>Інші видатки</t>
  </si>
  <si>
    <t>150</t>
  </si>
  <si>
    <t>Відділ з питань фізичної культури і  спорту  облдержадміністрації</t>
  </si>
  <si>
    <t>Утримання та навчально-тренувальна робота дитячо-юнацьких спортивних шкiл</t>
  </si>
  <si>
    <t>130104</t>
  </si>
  <si>
    <t>Видатки на утримання центрiв з iнвалiдного спорту i реабiлiтацiйних шкiл</t>
  </si>
  <si>
    <t>130201</t>
  </si>
  <si>
    <t>091103</t>
  </si>
  <si>
    <t>Соціальні програми i заходи державних органiв у справах молоді</t>
  </si>
  <si>
    <t xml:space="preserve">Обласна програма співпраці із закордонними українцями на період до 2010 року </t>
  </si>
  <si>
    <t>Проведення навчально-тренувальних зборів і змагань (які проводяться  громадськими організаціями фізкультурно-спортивної спрямованості)</t>
  </si>
  <si>
    <t>250380</t>
  </si>
  <si>
    <t>Інші субвенції (Млинівському району на будівництво, реконструкцію та ремонт доріг)</t>
  </si>
  <si>
    <t>030</t>
  </si>
  <si>
    <t>Управління охорони здоров’я  облдержадміністрації</t>
  </si>
  <si>
    <t>080101</t>
  </si>
  <si>
    <t>Лікарні</t>
  </si>
  <si>
    <t>080201</t>
  </si>
  <si>
    <t xml:space="preserve">Спеціалізовані лікарні та інші спеціалізовані заклади </t>
  </si>
  <si>
    <t>080204</t>
  </si>
  <si>
    <t>Санаторії для хворих туберкульозом</t>
  </si>
  <si>
    <t>081009</t>
  </si>
  <si>
    <t>Забезпечення централізованих заходів з лікування хворих на цукровий та нецукровий діабет</t>
  </si>
  <si>
    <t>Програма інформатизації Рівненської області на 2008-2010 роки</t>
  </si>
  <si>
    <t>010</t>
  </si>
  <si>
    <t>Головне управління з питань внутрішньої політики та інформації облдержадміністрації</t>
  </si>
  <si>
    <t>Програма із забезпечення участі громадськості Рівненщини у формуванні та реалізації державної політики і вивчення суспільної думки на 2006-2009 роки</t>
  </si>
  <si>
    <t xml:space="preserve">Інші видатки </t>
  </si>
  <si>
    <t>Утримання науково-редакційної групи книги "Реабілітовані історією. Рівненська область"</t>
  </si>
  <si>
    <t>250344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</si>
  <si>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</si>
  <si>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Комплексна програма профілактики злочинності в Рівненській області на 2005-2010 роки</t>
  </si>
  <si>
    <t>091106</t>
  </si>
  <si>
    <t>Iншi видатки</t>
  </si>
  <si>
    <t>091101</t>
  </si>
  <si>
    <t>Утримання центрiв соцiальних служб для сім'ї, дітей та молодi</t>
  </si>
  <si>
    <t>Регіональна програма розвитку туризму до 2010 року,
план дій з реалізації регіональної програми розвитку туризму до 2010 року</t>
  </si>
  <si>
    <t>070000</t>
  </si>
  <si>
    <t>Освiта</t>
  </si>
  <si>
    <t>080000</t>
  </si>
  <si>
    <t>Охорона здоров'я</t>
  </si>
  <si>
    <t>Культура i мистецтво</t>
  </si>
  <si>
    <t>Фiзична культура i спорт</t>
  </si>
  <si>
    <t>Інші субвенції</t>
  </si>
  <si>
    <t>Млинівському району на будівництво, реконструкцію та ремонт доріг</t>
  </si>
  <si>
    <t>Інші субвенції (Дубровицькому району для забезпечення належного санітарного стану на автомобільному пункті пропуску "Городище")</t>
  </si>
  <si>
    <t>080704</t>
  </si>
  <si>
    <t>Центри здоров‘я і заходи у сфері санітарної освіти</t>
  </si>
  <si>
    <t>062</t>
  </si>
  <si>
    <t>Служба у справах дітей облдержадміністрації</t>
  </si>
  <si>
    <t>090700</t>
  </si>
  <si>
    <t>Притулок для дітей</t>
  </si>
  <si>
    <t>250913</t>
  </si>
  <si>
    <t>Витрати, пов'язані з наданням та обслуговуванням пільгових довгострокових кредитів, наданих громадянам на будівництво (реконструкцію) та придбання житла</t>
  </si>
  <si>
    <t>070301</t>
  </si>
  <si>
    <t>Загальноосвітні школи-інтернати, загальноосвітні санаторні школи-інтернати</t>
  </si>
  <si>
    <t>070302</t>
  </si>
  <si>
    <t>Загальноосвітні школи-інтернати для дітей-сиріт та дітей, які залишилися без піклування батьків</t>
  </si>
  <si>
    <t>070303</t>
  </si>
  <si>
    <t>Дитячі будинки (в т.ч. сімейного типу, прийомні сім'ї)</t>
  </si>
  <si>
    <t>070304</t>
  </si>
  <si>
    <t>Спеціальні загальноосвітні школи-інтернати, школи та інші заклади освіти для дітей з вадами у фізичному чи розумовому розвитку</t>
  </si>
  <si>
    <t>070307</t>
  </si>
  <si>
    <t>Загальноосвітні спеціалізовані школи-інтернати з поглибленим вивченням окремих предметів і курсів для поглибленої підготовки дітей в галузі науки і мистецтв, фізичної культури і спорту, інших галузях, ліцеї з посиленою військово-фізичною підготовкою</t>
  </si>
  <si>
    <t>070401</t>
  </si>
  <si>
    <t>Позашкільні  заклади освіти,  заходи із позашкільної роботи з дітьми</t>
  </si>
  <si>
    <t>070701</t>
  </si>
  <si>
    <t>Заклади післядипломної освіти III-IV рівнів акредитації</t>
  </si>
  <si>
    <t>070804</t>
  </si>
  <si>
    <t>Централізовані бухгалтерії</t>
  </si>
  <si>
    <t>070805</t>
  </si>
  <si>
    <t>Групи централізованого господарського обслуговування</t>
  </si>
  <si>
    <t>070806</t>
  </si>
  <si>
    <t>Інші заклади освіти (психолого-медико-педагогічна комісія)</t>
  </si>
  <si>
    <t>070601</t>
  </si>
  <si>
    <t>Вищі навчальні заклади І та ІІ рівнів акредитації</t>
  </si>
  <si>
    <t>080205</t>
  </si>
  <si>
    <t>Санаторії для дітей та підлітків (нетуберкульозні)</t>
  </si>
  <si>
    <t>080207</t>
  </si>
  <si>
    <t>Будинки дитини</t>
  </si>
  <si>
    <t>080208</t>
  </si>
  <si>
    <t>Станції переливання крові</t>
  </si>
  <si>
    <t>080400</t>
  </si>
  <si>
    <t>Спеціалізовані поліклініки (в тому числі диспансери, які не мають ліжкового фонду)</t>
  </si>
  <si>
    <t>080500</t>
  </si>
  <si>
    <t>Загальні і спеціалізовані стоматологічні поліклініки</t>
  </si>
  <si>
    <t>081002</t>
  </si>
  <si>
    <t>Інші заходи по охороні здоров'я, в т.ч.</t>
  </si>
  <si>
    <t>обласне бюро судово-медичної експертизи</t>
  </si>
  <si>
    <t>обласний інформаційно-аналітичний центр медичної статистики</t>
  </si>
  <si>
    <t xml:space="preserve"> обласний центр реабілітації  дітей з органічними ураженнями нервової системи</t>
  </si>
  <si>
    <t>база спецмедпостачання</t>
  </si>
  <si>
    <t>центр профілактики та боротьби зі СНІДом</t>
  </si>
  <si>
    <t>081003</t>
  </si>
  <si>
    <t>Служба технічного нагляду за будівництвом та капітальним ремонтом</t>
  </si>
  <si>
    <t>081001</t>
  </si>
  <si>
    <t>Медико-соціальні експертні комісії</t>
  </si>
  <si>
    <t>110102</t>
  </si>
  <si>
    <t>Театри</t>
  </si>
  <si>
    <t>110103</t>
  </si>
  <si>
    <t>Фiлармонiї, музичнi колективи i ансамблi та iншi мистецькі  заклади та заходи</t>
  </si>
  <si>
    <t>110202</t>
  </si>
  <si>
    <t>Музеї i виставки</t>
  </si>
  <si>
    <t>110203</t>
  </si>
  <si>
    <t>Заповiдники</t>
  </si>
  <si>
    <t>110204</t>
  </si>
  <si>
    <t>Палаци i будинки культури, клуби та iншi заклади клубного типу</t>
  </si>
  <si>
    <t>130106</t>
  </si>
  <si>
    <t>Проведення заходів з нетрадиційних видів спорту і масових заходів з фізичної культури</t>
  </si>
  <si>
    <t>090601</t>
  </si>
  <si>
    <t>Будинки- інтернати для малолітніх інвалідів</t>
  </si>
  <si>
    <t>091212</t>
  </si>
  <si>
    <t>Обробка інформації з нарахування та виплати допомог і компенсацій</t>
  </si>
  <si>
    <t>091214</t>
  </si>
  <si>
    <t xml:space="preserve"> Інші установи та заклади </t>
  </si>
  <si>
    <t>Рівненський обласний центр організації оздоровлення та формування здорового способу життя дітей та молоді Рівненської обласної ради</t>
  </si>
  <si>
    <t>Рівненський центр соціально-психологічної допомоги</t>
  </si>
  <si>
    <t>Інші послуги, пов'язані  з економічною діяльністю</t>
  </si>
  <si>
    <t>Запобігання та лiквiдацiя надзвичайних ситуацiй та наслiдкiв стихiйного лиха</t>
  </si>
  <si>
    <t>кредитування</t>
  </si>
  <si>
    <t>вільні залишки</t>
  </si>
  <si>
    <t>баланс</t>
  </si>
  <si>
    <t>доходи</t>
  </si>
  <si>
    <t>на виконання заходів обласної комплексної програми з енергозбереження на період 2004-2010  років</t>
  </si>
  <si>
    <t>Інші субвенції з обласного бюджету на виконання заходів обласної комплексної програми з енергозбереження на період 2004-2010  років</t>
  </si>
  <si>
    <t>- надання грошових допомог, з них</t>
  </si>
  <si>
    <t>матеріальна допомога  інвалідамІ та ІІ групи по зору</t>
  </si>
  <si>
    <t>Головне управління  з питань будівництва та архітектури облдержадміністрації</t>
  </si>
  <si>
    <t>Інші субвенції (на організацію щорічного конкурсу "Населений пункт найкращого благоустрою і підтримки громадського порядку" в області)</t>
  </si>
  <si>
    <t>на організацію щорічного конкурсу "Населений пункт найкращого благоустрою і підтримки громадського порядку" в області</t>
  </si>
  <si>
    <t>130102</t>
  </si>
  <si>
    <t>Проведення навчально-тренувальних зборiв i змагань</t>
  </si>
  <si>
    <t>Дубровицькому району для забезпечення належного санітарного стану на  автомобільному пункті пропуску "Городище"</t>
  </si>
  <si>
    <t>130105</t>
  </si>
  <si>
    <t>Проведення навчально-тренувальних зборiв i змагань та заходiв з iнвалiдного спорту</t>
  </si>
  <si>
    <t>070807</t>
  </si>
  <si>
    <t>Інші освітні програми, в т.ч.:</t>
  </si>
  <si>
    <t>Програма підвищення безпеки дорожнього руху в Рівненській області на 2008-2012 роки</t>
  </si>
  <si>
    <t>300 250102</t>
  </si>
  <si>
    <t>Резервний фонд обласного бюджету</t>
  </si>
  <si>
    <t>250102</t>
  </si>
  <si>
    <t>Внески органів влади Автономної Республіки Крим та органів місцевого самоврядування у статутні фонди суб'єктів підприємницької діяльності   (внески у статутний фонд ОКП „Міжнародний аеропорт Рівне”)</t>
  </si>
  <si>
    <t>внески у статутний фонд КП „Управління майновим комплексом”</t>
  </si>
  <si>
    <t>внески у статутний фонд КП „Їдальня №20" Рівненської обласної ради</t>
  </si>
</sst>
</file>

<file path=xl/styles.xml><?xml version="1.0" encoding="utf-8"?>
<styleSheet xmlns="http://schemas.openxmlformats.org/spreadsheetml/2006/main">
  <numFmts count="2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d/m"/>
    <numFmt numFmtId="177" formatCode="dd/mm"/>
    <numFmt numFmtId="178" formatCode="0.000"/>
    <numFmt numFmtId="179" formatCode="0.0000"/>
    <numFmt numFmtId="180" formatCode="0.000000"/>
    <numFmt numFmtId="181" formatCode="0.00000"/>
    <numFmt numFmtId="182" formatCode="_-* #,##0.0_р_._-;\-* #,##0.0_р_._-;_-* &quot;-&quot;_р_._-;_-@_-"/>
    <numFmt numFmtId="183" formatCode="#,##0.0"/>
    <numFmt numFmtId="184" formatCode="[$€-2]\ ###,000_);[Red]\([$€-2]\ ###,000\)"/>
  </numFmts>
  <fonts count="35">
    <font>
      <sz val="10"/>
      <name val="Times New Roman"/>
      <family val="0"/>
    </font>
    <font>
      <b/>
      <sz val="10"/>
      <name val="Times New Roman"/>
      <family val="1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 Cyr"/>
      <family val="1"/>
    </font>
    <font>
      <b/>
      <sz val="12"/>
      <name val="Times New Roman Cyr"/>
      <family val="1"/>
    </font>
    <font>
      <sz val="12"/>
      <name val="Times New Roman Cyr"/>
      <family val="1"/>
    </font>
    <font>
      <b/>
      <sz val="18"/>
      <name val="Times New Roman"/>
      <family val="1"/>
    </font>
    <font>
      <sz val="14"/>
      <name val="Times New Roman"/>
      <family val="1"/>
    </font>
    <font>
      <sz val="10"/>
      <name val="Times New Roman CYR"/>
      <family val="1"/>
    </font>
    <font>
      <b/>
      <sz val="20"/>
      <name val="Arial"/>
      <family val="2"/>
    </font>
    <font>
      <b/>
      <sz val="14"/>
      <color indexed="8"/>
      <name val="Times New Roman Cyr"/>
      <family val="1"/>
    </font>
    <font>
      <b/>
      <sz val="11"/>
      <name val="Times New Roman Cyr"/>
      <family val="0"/>
    </font>
    <font>
      <b/>
      <sz val="15"/>
      <name val="Times New Roman Cyr"/>
      <family val="1"/>
    </font>
    <font>
      <b/>
      <sz val="10"/>
      <color indexed="10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3"/>
      <name val="Times New Roman"/>
      <family val="1"/>
    </font>
    <font>
      <b/>
      <sz val="13"/>
      <name val="Times New Roman Cyr"/>
      <family val="1"/>
    </font>
    <font>
      <sz val="13"/>
      <name val="Times New Roman"/>
      <family val="1"/>
    </font>
    <font>
      <b/>
      <sz val="11"/>
      <name val="Times New Roman"/>
      <family val="1"/>
    </font>
    <font>
      <sz val="10"/>
      <name val="Arial Cyr"/>
      <family val="0"/>
    </font>
    <font>
      <sz val="15"/>
      <name val="Times New Roman Cyr"/>
      <family val="1"/>
    </font>
    <font>
      <b/>
      <sz val="15"/>
      <name val="Times New Roman"/>
      <family val="1"/>
    </font>
    <font>
      <sz val="12"/>
      <color indexed="8"/>
      <name val="Times New Roman Cyr"/>
      <family val="0"/>
    </font>
    <font>
      <sz val="11"/>
      <name val="Times New Roman Cyr"/>
      <family val="0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gray0625">
        <bgColor indexed="9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0">
      <alignment/>
      <protection/>
    </xf>
    <xf numFmtId="0" fontId="30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8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 vertical="center"/>
    </xf>
    <xf numFmtId="49" fontId="0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1" fontId="0" fillId="0" borderId="0" xfId="0" applyNumberFormat="1" applyFont="1" applyFill="1" applyBorder="1" applyAlignment="1">
      <alignment vertical="top" wrapText="1"/>
    </xf>
    <xf numFmtId="0" fontId="1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 vertical="top" wrapText="1"/>
    </xf>
    <xf numFmtId="49" fontId="0" fillId="0" borderId="0" xfId="0" applyNumberFormat="1" applyAlignment="1" applyProtection="1">
      <alignment vertical="top"/>
      <protection locked="0"/>
    </xf>
    <xf numFmtId="0" fontId="0" fillId="0" borderId="0" xfId="0" applyFont="1" applyAlignment="1">
      <alignment horizontal="center"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center" vertical="center"/>
    </xf>
    <xf numFmtId="49" fontId="2" fillId="0" borderId="0" xfId="15" applyNumberFormat="1" applyFont="1" applyAlignment="1">
      <alignment horizontal="center" vertical="center"/>
    </xf>
    <xf numFmtId="49" fontId="0" fillId="0" borderId="0" xfId="0" applyNumberFormat="1" applyFont="1" applyAlignment="1">
      <alignment/>
    </xf>
    <xf numFmtId="49" fontId="16" fillId="0" borderId="0" xfId="0" applyNumberFormat="1" applyFont="1" applyAlignment="1" applyProtection="1">
      <alignment vertical="top"/>
      <protection locked="0"/>
    </xf>
    <xf numFmtId="0" fontId="16" fillId="0" borderId="0" xfId="0" applyFont="1" applyAlignment="1">
      <alignment horizontal="left" vertical="center"/>
    </xf>
    <xf numFmtId="0" fontId="4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175" fontId="1" fillId="0" borderId="0" xfId="0" applyNumberFormat="1" applyFont="1" applyFill="1" applyBorder="1" applyAlignment="1">
      <alignment/>
    </xf>
    <xf numFmtId="175" fontId="0" fillId="0" borderId="0" xfId="0" applyNumberFormat="1" applyFill="1" applyBorder="1" applyAlignment="1">
      <alignment/>
    </xf>
    <xf numFmtId="49" fontId="19" fillId="0" borderId="0" xfId="0" applyNumberFormat="1" applyFont="1" applyFill="1" applyBorder="1" applyAlignment="1" applyProtection="1">
      <alignment horizontal="right" vertical="top" wrapText="1"/>
      <protection locked="0"/>
    </xf>
    <xf numFmtId="0" fontId="16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6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7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9" fillId="2" borderId="0" xfId="0" applyFont="1" applyFill="1" applyBorder="1" applyAlignment="1">
      <alignment/>
    </xf>
    <xf numFmtId="175" fontId="1" fillId="0" borderId="0" xfId="0" applyNumberFormat="1" applyFont="1" applyAlignment="1">
      <alignment/>
    </xf>
    <xf numFmtId="0" fontId="9" fillId="0" borderId="0" xfId="0" applyFont="1" applyFill="1" applyBorder="1" applyAlignment="1">
      <alignment/>
    </xf>
    <xf numFmtId="49" fontId="0" fillId="0" borderId="0" xfId="0" applyNumberFormat="1" applyBorder="1" applyAlignment="1" applyProtection="1">
      <alignment vertical="top"/>
      <protection locked="0"/>
    </xf>
    <xf numFmtId="49" fontId="0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Fill="1" applyBorder="1" applyAlignment="1">
      <alignment/>
    </xf>
    <xf numFmtId="0" fontId="13" fillId="3" borderId="0" xfId="0" applyFont="1" applyFill="1" applyAlignment="1">
      <alignment/>
    </xf>
    <xf numFmtId="0" fontId="1" fillId="3" borderId="0" xfId="0" applyFont="1" applyFill="1" applyAlignment="1">
      <alignment/>
    </xf>
    <xf numFmtId="0" fontId="16" fillId="2" borderId="0" xfId="0" applyFont="1" applyFill="1" applyBorder="1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 horizontal="left" vertical="center"/>
    </xf>
    <xf numFmtId="0" fontId="8" fillId="0" borderId="0" xfId="0" applyFont="1" applyFill="1" applyBorder="1" applyAlignment="1">
      <alignment horizontal="right"/>
    </xf>
    <xf numFmtId="3" fontId="22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49" fontId="1" fillId="0" borderId="1" xfId="0" applyNumberFormat="1" applyFont="1" applyBorder="1" applyAlignment="1">
      <alignment horizontal="center" vertical="center" wrapText="1"/>
    </xf>
    <xf numFmtId="3" fontId="7" fillId="0" borderId="2" xfId="0" applyNumberFormat="1" applyFont="1" applyFill="1" applyBorder="1" applyAlignment="1">
      <alignment horizontal="center" vertical="top" wrapText="1"/>
    </xf>
    <xf numFmtId="3" fontId="7" fillId="0" borderId="3" xfId="0" applyNumberFormat="1" applyFont="1" applyFill="1" applyBorder="1" applyAlignment="1">
      <alignment horizontal="center" vertical="top" wrapText="1"/>
    </xf>
    <xf numFmtId="3" fontId="13" fillId="3" borderId="0" xfId="0" applyNumberFormat="1" applyFont="1" applyFill="1" applyAlignment="1">
      <alignment/>
    </xf>
    <xf numFmtId="3" fontId="7" fillId="4" borderId="3" xfId="0" applyNumberFormat="1" applyFont="1" applyFill="1" applyBorder="1" applyAlignment="1">
      <alignment horizontal="center" vertical="top" wrapText="1"/>
    </xf>
    <xf numFmtId="3" fontId="7" fillId="4" borderId="2" xfId="0" applyNumberFormat="1" applyFont="1" applyFill="1" applyBorder="1" applyAlignment="1">
      <alignment horizontal="center" vertical="top" wrapText="1"/>
    </xf>
    <xf numFmtId="3" fontId="7" fillId="4" borderId="3" xfId="0" applyNumberFormat="1" applyFont="1" applyFill="1" applyBorder="1" applyAlignment="1">
      <alignment horizontal="center" vertical="top"/>
    </xf>
    <xf numFmtId="3" fontId="26" fillId="0" borderId="3" xfId="0" applyNumberFormat="1" applyFont="1" applyFill="1" applyBorder="1" applyAlignment="1">
      <alignment horizontal="center" vertical="top" wrapText="1"/>
    </xf>
    <xf numFmtId="3" fontId="28" fillId="0" borderId="3" xfId="0" applyNumberFormat="1" applyFont="1" applyFill="1" applyBorder="1" applyAlignment="1">
      <alignment horizontal="center" vertical="top" wrapText="1"/>
    </xf>
    <xf numFmtId="3" fontId="26" fillId="0" borderId="3" xfId="0" applyNumberFormat="1" applyFont="1" applyBorder="1" applyAlignment="1">
      <alignment horizontal="center" vertical="top" wrapText="1"/>
    </xf>
    <xf numFmtId="3" fontId="28" fillId="0" borderId="3" xfId="0" applyNumberFormat="1" applyFont="1" applyFill="1" applyBorder="1" applyAlignment="1">
      <alignment horizontal="center" vertical="top" wrapText="1"/>
    </xf>
    <xf numFmtId="3" fontId="28" fillId="0" borderId="3" xfId="0" applyNumberFormat="1" applyFont="1" applyBorder="1" applyAlignment="1">
      <alignment horizontal="center" vertical="top" wrapText="1"/>
    </xf>
    <xf numFmtId="3" fontId="28" fillId="0" borderId="3" xfId="0" applyNumberFormat="1" applyFont="1" applyFill="1" applyBorder="1" applyAlignment="1">
      <alignment horizontal="center" vertical="top" wrapText="1"/>
    </xf>
    <xf numFmtId="3" fontId="26" fillId="0" borderId="3" xfId="0" applyNumberFormat="1" applyFont="1" applyFill="1" applyBorder="1" applyAlignment="1">
      <alignment horizontal="center" vertical="top" wrapText="1"/>
    </xf>
    <xf numFmtId="3" fontId="26" fillId="3" borderId="3" xfId="0" applyNumberFormat="1" applyFont="1" applyFill="1" applyBorder="1" applyAlignment="1">
      <alignment horizontal="center" vertical="top" wrapText="1"/>
    </xf>
    <xf numFmtId="3" fontId="28" fillId="0" borderId="3" xfId="0" applyNumberFormat="1" applyFont="1" applyFill="1" applyBorder="1" applyAlignment="1">
      <alignment horizontal="center" vertical="top"/>
    </xf>
    <xf numFmtId="3" fontId="26" fillId="3" borderId="3" xfId="0" applyNumberFormat="1" applyFont="1" applyFill="1" applyBorder="1" applyAlignment="1">
      <alignment horizontal="center" vertical="top" wrapText="1"/>
    </xf>
    <xf numFmtId="0" fontId="29" fillId="0" borderId="1" xfId="0" applyFont="1" applyFill="1" applyBorder="1" applyAlignment="1">
      <alignment horizontal="center" vertical="center" wrapText="1"/>
    </xf>
    <xf numFmtId="3" fontId="11" fillId="0" borderId="3" xfId="0" applyNumberFormat="1" applyFont="1" applyFill="1" applyBorder="1" applyAlignment="1">
      <alignment horizontal="center" vertical="top"/>
    </xf>
    <xf numFmtId="3" fontId="11" fillId="0" borderId="3" xfId="0" applyNumberFormat="1" applyFont="1" applyFill="1" applyBorder="1" applyAlignment="1">
      <alignment horizontal="center" vertical="top" wrapText="1"/>
    </xf>
    <xf numFmtId="3" fontId="26" fillId="3" borderId="3" xfId="0" applyNumberFormat="1" applyFont="1" applyFill="1" applyBorder="1" applyAlignment="1">
      <alignment horizontal="center" vertical="top" wrapText="1"/>
    </xf>
    <xf numFmtId="3" fontId="11" fillId="5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left" vertical="center" wrapText="1"/>
    </xf>
    <xf numFmtId="0" fontId="11" fillId="0" borderId="4" xfId="18" applyFont="1" applyFill="1" applyBorder="1" applyAlignment="1" applyProtection="1">
      <alignment horizontal="left" vertical="center" wrapText="1"/>
      <protection/>
    </xf>
    <xf numFmtId="0" fontId="11" fillId="0" borderId="0" xfId="18" applyFont="1" applyFill="1" applyBorder="1" applyAlignment="1" applyProtection="1">
      <alignment horizontal="left" vertical="center" wrapText="1"/>
      <protection/>
    </xf>
    <xf numFmtId="49" fontId="10" fillId="4" borderId="5" xfId="0" applyNumberFormat="1" applyFont="1" applyFill="1" applyBorder="1" applyAlignment="1">
      <alignment horizontal="center" vertical="top" wrapText="1"/>
    </xf>
    <xf numFmtId="49" fontId="10" fillId="4" borderId="3" xfId="0" applyNumberFormat="1" applyFont="1" applyFill="1" applyBorder="1" applyAlignment="1">
      <alignment horizontal="left" vertical="top" wrapText="1"/>
    </xf>
    <xf numFmtId="49" fontId="14" fillId="0" borderId="5" xfId="0" applyNumberFormat="1" applyFont="1" applyBorder="1" applyAlignment="1">
      <alignment horizontal="center" vertical="top" wrapText="1"/>
    </xf>
    <xf numFmtId="49" fontId="24" fillId="0" borderId="3" xfId="0" applyNumberFormat="1" applyFont="1" applyFill="1" applyBorder="1" applyAlignment="1">
      <alignment vertical="top" wrapText="1"/>
    </xf>
    <xf numFmtId="49" fontId="11" fillId="0" borderId="3" xfId="0" applyNumberFormat="1" applyFont="1" applyBorder="1" applyAlignment="1" applyProtection="1">
      <alignment vertical="top" wrapText="1"/>
      <protection locked="0"/>
    </xf>
    <xf numFmtId="3" fontId="7" fillId="0" borderId="3" xfId="0" applyNumberFormat="1" applyFont="1" applyFill="1" applyBorder="1" applyAlignment="1">
      <alignment horizontal="center" vertical="top"/>
    </xf>
    <xf numFmtId="49" fontId="24" fillId="0" borderId="3" xfId="0" applyNumberFormat="1" applyFont="1" applyFill="1" applyBorder="1" applyAlignment="1">
      <alignment vertical="top" wrapText="1"/>
    </xf>
    <xf numFmtId="49" fontId="23" fillId="0" borderId="5" xfId="0" applyNumberFormat="1" applyFont="1" applyFill="1" applyBorder="1" applyAlignment="1">
      <alignment horizontal="center" vertical="top" wrapText="1"/>
    </xf>
    <xf numFmtId="49" fontId="23" fillId="0" borderId="3" xfId="0" applyNumberFormat="1" applyFont="1" applyFill="1" applyBorder="1" applyAlignment="1">
      <alignment horizontal="left" vertical="top" wrapText="1"/>
    </xf>
    <xf numFmtId="49" fontId="24" fillId="0" borderId="3" xfId="0" applyNumberFormat="1" applyFont="1" applyFill="1" applyBorder="1" applyAlignment="1">
      <alignment horizontal="left" vertical="top" wrapText="1"/>
    </xf>
    <xf numFmtId="49" fontId="17" fillId="0" borderId="6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3" fontId="27" fillId="3" borderId="11" xfId="0" applyNumberFormat="1" applyFont="1" applyFill="1" applyBorder="1" applyAlignment="1">
      <alignment horizontal="center" vertical="top" wrapText="1"/>
    </xf>
    <xf numFmtId="49" fontId="13" fillId="3" borderId="5" xfId="0" applyNumberFormat="1" applyFont="1" applyFill="1" applyBorder="1" applyAlignment="1">
      <alignment horizontal="center" vertical="top" wrapText="1"/>
    </xf>
    <xf numFmtId="49" fontId="25" fillId="3" borderId="3" xfId="0" applyNumberFormat="1" applyFont="1" applyFill="1" applyBorder="1" applyAlignment="1">
      <alignment vertical="top" wrapText="1"/>
    </xf>
    <xf numFmtId="49" fontId="20" fillId="3" borderId="5" xfId="0" applyNumberFormat="1" applyFont="1" applyFill="1" applyBorder="1" applyAlignment="1">
      <alignment horizontal="center" vertical="top" wrapText="1"/>
    </xf>
    <xf numFmtId="49" fontId="12" fillId="3" borderId="3" xfId="0" applyNumberFormat="1" applyFont="1" applyFill="1" applyBorder="1" applyAlignment="1" applyProtection="1">
      <alignment vertical="top" wrapText="1"/>
      <protection locked="0"/>
    </xf>
    <xf numFmtId="49" fontId="13" fillId="3" borderId="3" xfId="0" applyNumberFormat="1" applyFont="1" applyFill="1" applyBorder="1" applyAlignment="1" applyProtection="1">
      <alignment vertical="top" wrapText="1"/>
      <protection locked="0"/>
    </xf>
    <xf numFmtId="3" fontId="26" fillId="5" borderId="3" xfId="0" applyNumberFormat="1" applyFont="1" applyFill="1" applyBorder="1" applyAlignment="1">
      <alignment horizontal="center" vertical="top" wrapText="1"/>
    </xf>
    <xf numFmtId="49" fontId="12" fillId="3" borderId="5" xfId="0" applyNumberFormat="1" applyFont="1" applyFill="1" applyBorder="1" applyAlignment="1" applyProtection="1">
      <alignment horizontal="center" vertical="top" wrapText="1"/>
      <protection locked="0"/>
    </xf>
    <xf numFmtId="49" fontId="12" fillId="3" borderId="3" xfId="0" applyNumberFormat="1" applyFont="1" applyFill="1" applyBorder="1" applyAlignment="1">
      <alignment vertical="top" wrapText="1"/>
    </xf>
    <xf numFmtId="49" fontId="24" fillId="0" borderId="3" xfId="0" applyNumberFormat="1" applyFont="1" applyFill="1" applyBorder="1" applyAlignment="1">
      <alignment vertical="top" wrapText="1"/>
    </xf>
    <xf numFmtId="49" fontId="20" fillId="3" borderId="12" xfId="0" applyNumberFormat="1" applyFont="1" applyFill="1" applyBorder="1" applyAlignment="1">
      <alignment horizontal="center" vertical="top" wrapText="1"/>
    </xf>
    <xf numFmtId="49" fontId="12" fillId="3" borderId="11" xfId="0" applyNumberFormat="1" applyFont="1" applyFill="1" applyBorder="1" applyAlignment="1">
      <alignment vertical="top" wrapText="1"/>
    </xf>
    <xf numFmtId="3" fontId="21" fillId="3" borderId="13" xfId="0" applyNumberFormat="1" applyFont="1" applyFill="1" applyBorder="1" applyAlignment="1">
      <alignment horizontal="center" vertical="top" wrapText="1"/>
    </xf>
    <xf numFmtId="49" fontId="4" fillId="0" borderId="8" xfId="0" applyNumberFormat="1" applyFont="1" applyFill="1" applyBorder="1" applyAlignment="1">
      <alignment horizontal="center" vertical="top" wrapText="1"/>
    </xf>
    <xf numFmtId="49" fontId="10" fillId="4" borderId="12" xfId="0" applyNumberFormat="1" applyFont="1" applyFill="1" applyBorder="1" applyAlignment="1">
      <alignment horizontal="center" vertical="top" wrapText="1"/>
    </xf>
    <xf numFmtId="49" fontId="10" fillId="4" borderId="11" xfId="0" applyNumberFormat="1" applyFont="1" applyFill="1" applyBorder="1" applyAlignment="1">
      <alignment horizontal="left" vertical="top" wrapText="1"/>
    </xf>
    <xf numFmtId="3" fontId="7" fillId="4" borderId="11" xfId="0" applyNumberFormat="1" applyFont="1" applyFill="1" applyBorder="1" applyAlignment="1">
      <alignment horizontal="center" vertical="top" wrapText="1"/>
    </xf>
    <xf numFmtId="3" fontId="7" fillId="4" borderId="14" xfId="0" applyNumberFormat="1" applyFont="1" applyFill="1" applyBorder="1" applyAlignment="1">
      <alignment horizontal="center" vertical="top" wrapText="1"/>
    </xf>
    <xf numFmtId="49" fontId="10" fillId="4" borderId="15" xfId="0" applyNumberFormat="1" applyFont="1" applyFill="1" applyBorder="1" applyAlignment="1">
      <alignment horizontal="center" vertical="top" wrapText="1"/>
    </xf>
    <xf numFmtId="3" fontId="8" fillId="4" borderId="13" xfId="0" applyNumberFormat="1" applyFont="1" applyFill="1" applyBorder="1" applyAlignment="1">
      <alignment horizontal="center" vertical="top"/>
    </xf>
    <xf numFmtId="3" fontId="8" fillId="4" borderId="16" xfId="0" applyNumberFormat="1" applyFont="1" applyFill="1" applyBorder="1" applyAlignment="1">
      <alignment horizontal="center" vertical="top"/>
    </xf>
    <xf numFmtId="49" fontId="23" fillId="3" borderId="5" xfId="0" applyNumberFormat="1" applyFont="1" applyFill="1" applyBorder="1" applyAlignment="1">
      <alignment horizontal="center" vertical="top" wrapText="1"/>
    </xf>
    <xf numFmtId="49" fontId="10" fillId="3" borderId="3" xfId="0" applyNumberFormat="1" applyFont="1" applyFill="1" applyBorder="1" applyAlignment="1">
      <alignment vertical="top" wrapText="1"/>
    </xf>
    <xf numFmtId="3" fontId="27" fillId="3" borderId="3" xfId="0" applyNumberFormat="1" applyFont="1" applyFill="1" applyBorder="1" applyAlignment="1">
      <alignment horizontal="center" vertical="top" wrapText="1"/>
    </xf>
    <xf numFmtId="0" fontId="0" fillId="0" borderId="3" xfId="0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3" fontId="27" fillId="0" borderId="3" xfId="0" applyNumberFormat="1" applyFont="1" applyFill="1" applyBorder="1" applyAlignment="1">
      <alignment horizontal="center" vertical="top" wrapText="1"/>
    </xf>
    <xf numFmtId="49" fontId="31" fillId="3" borderId="15" xfId="0" applyNumberFormat="1" applyFont="1" applyFill="1" applyBorder="1" applyAlignment="1" applyProtection="1">
      <alignment horizontal="center" vertical="top" wrapText="1"/>
      <protection locked="0"/>
    </xf>
    <xf numFmtId="49" fontId="21" fillId="3" borderId="13" xfId="15" applyNumberFormat="1" applyFont="1" applyFill="1" applyBorder="1" applyAlignment="1" applyProtection="1">
      <alignment vertical="top" wrapText="1"/>
      <protection locked="0"/>
    </xf>
    <xf numFmtId="3" fontId="21" fillId="3" borderId="3" xfId="0" applyNumberFormat="1" applyFont="1" applyFill="1" applyBorder="1" applyAlignment="1">
      <alignment horizontal="center" vertical="top" wrapText="1"/>
    </xf>
    <xf numFmtId="3" fontId="32" fillId="3" borderId="3" xfId="0" applyNumberFormat="1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/>
    </xf>
    <xf numFmtId="3" fontId="8" fillId="4" borderId="3" xfId="0" applyNumberFormat="1" applyFont="1" applyFill="1" applyBorder="1" applyAlignment="1">
      <alignment horizontal="center" vertical="top"/>
    </xf>
    <xf numFmtId="3" fontId="8" fillId="4" borderId="2" xfId="0" applyNumberFormat="1" applyFont="1" applyFill="1" applyBorder="1" applyAlignment="1">
      <alignment horizontal="center" vertical="top"/>
    </xf>
    <xf numFmtId="49" fontId="10" fillId="4" borderId="13" xfId="0" applyNumberFormat="1" applyFont="1" applyFill="1" applyBorder="1" applyAlignment="1">
      <alignment horizontal="center" vertical="top" wrapText="1"/>
    </xf>
    <xf numFmtId="3" fontId="26" fillId="0" borderId="3" xfId="0" applyNumberFormat="1" applyFont="1" applyFill="1" applyBorder="1" applyAlignment="1">
      <alignment horizontal="center" vertical="top" wrapText="1"/>
    </xf>
    <xf numFmtId="0" fontId="11" fillId="0" borderId="3" xfId="0" applyFont="1" applyBorder="1" applyAlignment="1">
      <alignment vertical="center" wrapText="1"/>
    </xf>
    <xf numFmtId="0" fontId="11" fillId="0" borderId="3" xfId="0" applyFont="1" applyBorder="1" applyAlignment="1">
      <alignment horizontal="left" vertical="top" wrapText="1"/>
    </xf>
    <xf numFmtId="49" fontId="9" fillId="0" borderId="3" xfId="0" applyNumberFormat="1" applyFont="1" applyBorder="1" applyAlignment="1" applyProtection="1">
      <alignment vertical="top" wrapText="1"/>
      <protection locked="0"/>
    </xf>
    <xf numFmtId="3" fontId="8" fillId="0" borderId="3" xfId="0" applyNumberFormat="1" applyFont="1" applyFill="1" applyBorder="1" applyAlignment="1">
      <alignment horizontal="center" vertical="top"/>
    </xf>
    <xf numFmtId="49" fontId="13" fillId="3" borderId="5" xfId="0" applyNumberFormat="1" applyFont="1" applyFill="1" applyBorder="1" applyAlignment="1">
      <alignment horizontal="center" vertical="top" wrapText="1"/>
    </xf>
    <xf numFmtId="49" fontId="25" fillId="3" borderId="3" xfId="0" applyNumberFormat="1" applyFont="1" applyFill="1" applyBorder="1" applyAlignment="1">
      <alignment vertical="top" wrapText="1"/>
    </xf>
    <xf numFmtId="49" fontId="14" fillId="0" borderId="5" xfId="0" applyNumberFormat="1" applyFont="1" applyFill="1" applyBorder="1" applyAlignment="1">
      <alignment horizontal="center" vertical="top" wrapText="1"/>
    </xf>
    <xf numFmtId="49" fontId="14" fillId="0" borderId="5" xfId="0" applyNumberFormat="1" applyFont="1" applyFill="1" applyBorder="1" applyAlignment="1">
      <alignment horizontal="center" vertical="top" wrapText="1"/>
    </xf>
    <xf numFmtId="3" fontId="28" fillId="3" borderId="3" xfId="0" applyNumberFormat="1" applyFont="1" applyFill="1" applyBorder="1" applyAlignment="1">
      <alignment horizontal="center" vertical="top" wrapText="1"/>
    </xf>
    <xf numFmtId="3" fontId="32" fillId="0" borderId="3" xfId="0" applyNumberFormat="1" applyFont="1" applyFill="1" applyBorder="1" applyAlignment="1">
      <alignment horizontal="center" vertical="top" wrapText="1"/>
    </xf>
    <xf numFmtId="3" fontId="21" fillId="0" borderId="3" xfId="0" applyNumberFormat="1" applyFont="1" applyFill="1" applyBorder="1" applyAlignment="1">
      <alignment horizontal="center" vertical="top" wrapText="1"/>
    </xf>
    <xf numFmtId="49" fontId="33" fillId="0" borderId="3" xfId="0" applyNumberFormat="1" applyFont="1" applyFill="1" applyBorder="1" applyAlignment="1" applyProtection="1">
      <alignment vertical="top" wrapText="1"/>
      <protection locked="0"/>
    </xf>
    <xf numFmtId="49" fontId="34" fillId="5" borderId="3" xfId="0" applyNumberFormat="1" applyFont="1" applyFill="1" applyBorder="1" applyAlignment="1" applyProtection="1">
      <alignment vertical="top" wrapText="1"/>
      <protection locked="0"/>
    </xf>
    <xf numFmtId="0" fontId="11" fillId="0" borderId="3" xfId="0" applyNumberFormat="1" applyFont="1" applyBorder="1" applyAlignment="1">
      <alignment vertical="center" wrapText="1"/>
    </xf>
    <xf numFmtId="49" fontId="9" fillId="0" borderId="3" xfId="0" applyNumberFormat="1" applyFont="1" applyFill="1" applyBorder="1" applyAlignment="1">
      <alignment vertical="top" wrapText="1"/>
    </xf>
    <xf numFmtId="49" fontId="12" fillId="3" borderId="3" xfId="0" applyNumberFormat="1" applyFont="1" applyFill="1" applyBorder="1" applyAlignment="1" applyProtection="1">
      <alignment vertical="top" wrapText="1"/>
      <protection locked="0"/>
    </xf>
    <xf numFmtId="49" fontId="34" fillId="0" borderId="5" xfId="0" applyNumberFormat="1" applyFont="1" applyFill="1" applyBorder="1" applyAlignment="1">
      <alignment horizontal="center" vertical="top" wrapText="1"/>
    </xf>
    <xf numFmtId="49" fontId="9" fillId="0" borderId="3" xfId="0" applyNumberFormat="1" applyFont="1" applyBorder="1" applyAlignment="1" applyProtection="1">
      <alignment vertical="top" wrapText="1"/>
      <protection locked="0"/>
    </xf>
    <xf numFmtId="49" fontId="9" fillId="0" borderId="3" xfId="0" applyNumberFormat="1" applyFont="1" applyFill="1" applyBorder="1" applyAlignment="1" applyProtection="1">
      <alignment vertical="top" wrapText="1"/>
      <protection locked="0"/>
    </xf>
    <xf numFmtId="49" fontId="9" fillId="0" borderId="3" xfId="0" applyNumberFormat="1" applyFont="1" applyBorder="1" applyAlignment="1" applyProtection="1">
      <alignment vertical="top" wrapText="1"/>
      <protection locked="0"/>
    </xf>
    <xf numFmtId="49" fontId="24" fillId="0" borderId="3" xfId="0" applyNumberFormat="1" applyFont="1" applyBorder="1" applyAlignment="1" applyProtection="1">
      <alignment vertical="top" wrapText="1"/>
      <protection locked="0"/>
    </xf>
    <xf numFmtId="49" fontId="23" fillId="0" borderId="3" xfId="0" applyNumberFormat="1" applyFont="1" applyBorder="1" applyAlignment="1" applyProtection="1">
      <alignment vertical="top" wrapText="1"/>
      <protection locked="0"/>
    </xf>
    <xf numFmtId="0" fontId="14" fillId="0" borderId="3" xfId="19" applyNumberFormat="1" applyFont="1" applyBorder="1" applyAlignment="1">
      <alignment vertical="center" wrapText="1"/>
      <protection/>
    </xf>
    <xf numFmtId="49" fontId="24" fillId="0" borderId="3" xfId="0" applyNumberFormat="1" applyFont="1" applyBorder="1" applyAlignment="1" applyProtection="1">
      <alignment vertical="top" wrapText="1"/>
      <protection/>
    </xf>
    <xf numFmtId="49" fontId="24" fillId="0" borderId="3" xfId="0" applyNumberFormat="1" applyFont="1" applyBorder="1" applyAlignment="1" applyProtection="1">
      <alignment vertical="top" wrapText="1"/>
      <protection locked="0"/>
    </xf>
    <xf numFmtId="49" fontId="9" fillId="0" borderId="3" xfId="0" applyNumberFormat="1" applyFont="1" applyFill="1" applyBorder="1" applyAlignment="1">
      <alignment vertical="top" wrapText="1"/>
    </xf>
    <xf numFmtId="1" fontId="7" fillId="4" borderId="5" xfId="0" applyNumberFormat="1" applyFont="1" applyFill="1" applyBorder="1" applyAlignment="1">
      <alignment horizontal="center" vertical="top" wrapText="1"/>
    </xf>
    <xf numFmtId="3" fontId="7" fillId="4" borderId="3" xfId="0" applyNumberFormat="1" applyFont="1" applyFill="1" applyBorder="1" applyAlignment="1">
      <alignment horizontal="left" vertical="top" wrapText="1"/>
    </xf>
    <xf numFmtId="3" fontId="0" fillId="0" borderId="0" xfId="0" applyNumberFormat="1" applyAlignment="1">
      <alignment/>
    </xf>
    <xf numFmtId="3" fontId="7" fillId="4" borderId="2" xfId="0" applyNumberFormat="1" applyFont="1" applyFill="1" applyBorder="1" applyAlignment="1">
      <alignment horizontal="center" vertical="top"/>
    </xf>
    <xf numFmtId="49" fontId="23" fillId="0" borderId="5" xfId="0" applyNumberFormat="1" applyFont="1" applyFill="1" applyBorder="1" applyAlignment="1">
      <alignment horizontal="center" vertical="top" wrapText="1"/>
    </xf>
    <xf numFmtId="49" fontId="10" fillId="0" borderId="5" xfId="0" applyNumberFormat="1" applyFont="1" applyFill="1" applyBorder="1" applyAlignment="1">
      <alignment horizontal="center" vertical="top" wrapText="1"/>
    </xf>
    <xf numFmtId="3" fontId="7" fillId="0" borderId="3" xfId="0" applyNumberFormat="1" applyFont="1" applyFill="1" applyBorder="1" applyAlignment="1">
      <alignment horizontal="center" vertical="top"/>
    </xf>
    <xf numFmtId="3" fontId="7" fillId="0" borderId="3" xfId="0" applyNumberFormat="1" applyFont="1" applyFill="1" applyBorder="1" applyAlignment="1">
      <alignment horizontal="center" vertical="top" wrapText="1"/>
    </xf>
    <xf numFmtId="3" fontId="7" fillId="3" borderId="3" xfId="0" applyNumberFormat="1" applyFont="1" applyFill="1" applyBorder="1" applyAlignment="1">
      <alignment horizontal="center" vertical="top" wrapText="1"/>
    </xf>
    <xf numFmtId="49" fontId="14" fillId="0" borderId="17" xfId="0" applyNumberFormat="1" applyFont="1" applyBorder="1" applyAlignment="1">
      <alignment horizontal="center" vertical="top" wrapText="1"/>
    </xf>
    <xf numFmtId="3" fontId="26" fillId="5" borderId="18" xfId="0" applyNumberFormat="1" applyFont="1" applyFill="1" applyBorder="1" applyAlignment="1">
      <alignment horizontal="center" vertical="top" wrapText="1"/>
    </xf>
    <xf numFmtId="3" fontId="26" fillId="0" borderId="18" xfId="0" applyNumberFormat="1" applyFont="1" applyFill="1" applyBorder="1" applyAlignment="1">
      <alignment horizontal="center" vertical="top" wrapText="1"/>
    </xf>
    <xf numFmtId="49" fontId="13" fillId="3" borderId="17" xfId="0" applyNumberFormat="1" applyFont="1" applyFill="1" applyBorder="1" applyAlignment="1">
      <alignment horizontal="center" vertical="top" wrapText="1"/>
    </xf>
    <xf numFmtId="3" fontId="28" fillId="3" borderId="3" xfId="0" applyNumberFormat="1" applyFont="1" applyFill="1" applyBorder="1" applyAlignment="1">
      <alignment horizontal="center" vertical="top" wrapText="1"/>
    </xf>
    <xf numFmtId="3" fontId="26" fillId="3" borderId="18" xfId="0" applyNumberFormat="1" applyFont="1" applyFill="1" applyBorder="1" applyAlignment="1">
      <alignment horizontal="center" vertical="top" wrapText="1"/>
    </xf>
    <xf numFmtId="49" fontId="24" fillId="0" borderId="3" xfId="0" applyNumberFormat="1" applyFont="1" applyFill="1" applyBorder="1" applyAlignment="1">
      <alignment horizontal="left" vertical="top" wrapText="1"/>
    </xf>
    <xf numFmtId="49" fontId="29" fillId="0" borderId="19" xfId="0" applyNumberFormat="1" applyFont="1" applyBorder="1" applyAlignment="1">
      <alignment horizontal="center" vertical="center" wrapText="1"/>
    </xf>
    <xf numFmtId="49" fontId="29" fillId="0" borderId="20" xfId="0" applyNumberFormat="1" applyFont="1" applyBorder="1" applyAlignment="1">
      <alignment horizontal="center" vertical="center" wrapText="1"/>
    </xf>
    <xf numFmtId="49" fontId="19" fillId="0" borderId="0" xfId="0" applyNumberFormat="1" applyFont="1" applyFill="1" applyBorder="1" applyAlignment="1" applyProtection="1">
      <alignment horizontal="center" vertical="top" wrapText="1"/>
      <protection locked="0"/>
    </xf>
    <xf numFmtId="0" fontId="7" fillId="0" borderId="7" xfId="0" applyFont="1" applyFill="1" applyBorder="1" applyAlignment="1">
      <alignment horizontal="center" vertical="center" textRotation="255"/>
    </xf>
    <xf numFmtId="0" fontId="7" fillId="0" borderId="21" xfId="0" applyFont="1" applyFill="1" applyBorder="1" applyAlignment="1">
      <alignment horizontal="center" vertical="center" textRotation="255"/>
    </xf>
    <xf numFmtId="0" fontId="1" fillId="0" borderId="22" xfId="0" applyFont="1" applyFill="1" applyBorder="1" applyAlignment="1">
      <alignment textRotation="255"/>
    </xf>
    <xf numFmtId="0" fontId="29" fillId="0" borderId="1" xfId="0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29" fillId="0" borderId="7" xfId="0" applyFont="1" applyFill="1" applyBorder="1" applyAlignment="1">
      <alignment horizontal="center" vertical="center" wrapText="1"/>
    </xf>
    <xf numFmtId="0" fontId="29" fillId="0" borderId="20" xfId="0" applyFont="1" applyFill="1" applyBorder="1" applyAlignment="1">
      <alignment horizontal="center" vertical="center" wrapText="1"/>
    </xf>
    <xf numFmtId="49" fontId="19" fillId="0" borderId="0" xfId="0" applyNumberFormat="1" applyFont="1" applyFill="1" applyBorder="1" applyAlignment="1" applyProtection="1">
      <alignment horizontal="right" vertical="top" wrapText="1"/>
      <protection locked="0"/>
    </xf>
    <xf numFmtId="49" fontId="29" fillId="0" borderId="7" xfId="0" applyNumberFormat="1" applyFont="1" applyFill="1" applyBorder="1" applyAlignment="1">
      <alignment horizontal="center" vertical="center" wrapText="1"/>
    </xf>
    <xf numFmtId="49" fontId="29" fillId="0" borderId="19" xfId="0" applyNumberFormat="1" applyFont="1" applyFill="1" applyBorder="1" applyAlignment="1">
      <alignment horizontal="center" vertical="center" wrapText="1"/>
    </xf>
    <xf numFmtId="49" fontId="29" fillId="0" borderId="20" xfId="0" applyNumberFormat="1" applyFont="1" applyFill="1" applyBorder="1" applyAlignment="1">
      <alignment horizontal="center" vertical="center" wrapText="1"/>
    </xf>
    <xf numFmtId="1" fontId="18" fillId="0" borderId="0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center" textRotation="255"/>
    </xf>
    <xf numFmtId="0" fontId="1" fillId="0" borderId="1" xfId="0" applyFont="1" applyFill="1" applyBorder="1" applyAlignment="1">
      <alignment textRotation="255"/>
    </xf>
    <xf numFmtId="0" fontId="29" fillId="0" borderId="19" xfId="0" applyFont="1" applyFill="1" applyBorder="1" applyAlignment="1">
      <alignment horizontal="center" vertical="center" wrapText="1"/>
    </xf>
  </cellXfs>
  <cellStyles count="10">
    <cellStyle name="Normal" xfId="0"/>
    <cellStyle name="Hyperlink" xfId="15"/>
    <cellStyle name="Currency" xfId="16"/>
    <cellStyle name="Currency [0]" xfId="17"/>
    <cellStyle name="Обычный_ZV1PIV98" xfId="18"/>
    <cellStyle name="Обычный_ДОД4-2003" xfId="19"/>
    <cellStyle name="Followed Hyperlink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323850</xdr:colOff>
      <xdr:row>0</xdr:row>
      <xdr:rowOff>47625</xdr:rowOff>
    </xdr:from>
    <xdr:ext cx="3105150" cy="1085850"/>
    <xdr:sp>
      <xdr:nvSpPr>
        <xdr:cNvPr id="1" name="TextBox 6"/>
        <xdr:cNvSpPr txBox="1">
          <a:spLocks noChangeArrowheads="1"/>
        </xdr:cNvSpPr>
      </xdr:nvSpPr>
      <xdr:spPr>
        <a:xfrm>
          <a:off x="10706100" y="47625"/>
          <a:ext cx="310515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Times New Roman"/>
              <a:ea typeface="Times New Roman"/>
              <a:cs typeface="Times New Roman"/>
            </a:rPr>
            <a:t>Додаток 3
до рішення Рівненської обласної  ради
від  _____________ 2009  року № _______
</a:t>
          </a:r>
        </a:p>
      </xdr:txBody>
    </xdr:sp>
    <xdr:clientData/>
  </xdr:oneCellAnchor>
  <xdr:twoCellAnchor>
    <xdr:from>
      <xdr:col>1</xdr:col>
      <xdr:colOff>819150</xdr:colOff>
      <xdr:row>0</xdr:row>
      <xdr:rowOff>161925</xdr:rowOff>
    </xdr:from>
    <xdr:to>
      <xdr:col>10</xdr:col>
      <xdr:colOff>276225</xdr:colOff>
      <xdr:row>0</xdr:row>
      <xdr:rowOff>161925</xdr:rowOff>
    </xdr:to>
    <xdr:sp>
      <xdr:nvSpPr>
        <xdr:cNvPr id="2" name="TextBox 7"/>
        <xdr:cNvSpPr txBox="1">
          <a:spLocks noChangeArrowheads="1"/>
        </xdr:cNvSpPr>
      </xdr:nvSpPr>
      <xdr:spPr>
        <a:xfrm>
          <a:off x="1504950" y="161925"/>
          <a:ext cx="9906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Times New Roman"/>
              <a:ea typeface="Times New Roman"/>
              <a:cs typeface="Times New Roman"/>
            </a:rPr>
            <a:t>Розподіл видатків ____________бюджету на 2002 рік
за головними розпорядниками коштів
</a:t>
          </a:r>
        </a:p>
      </xdr:txBody>
    </xdr:sp>
    <xdr:clientData/>
  </xdr:twoCellAnchor>
  <xdr:twoCellAnchor>
    <xdr:from>
      <xdr:col>1</xdr:col>
      <xdr:colOff>485775</xdr:colOff>
      <xdr:row>1</xdr:row>
      <xdr:rowOff>552450</xdr:rowOff>
    </xdr:from>
    <xdr:to>
      <xdr:col>9</xdr:col>
      <xdr:colOff>514350</xdr:colOff>
      <xdr:row>1</xdr:row>
      <xdr:rowOff>1323975</xdr:rowOff>
    </xdr:to>
    <xdr:sp>
      <xdr:nvSpPr>
        <xdr:cNvPr id="3" name="TextBox 29"/>
        <xdr:cNvSpPr txBox="1">
          <a:spLocks noChangeArrowheads="1"/>
        </xdr:cNvSpPr>
      </xdr:nvSpPr>
      <xdr:spPr>
        <a:xfrm>
          <a:off x="1171575" y="714375"/>
          <a:ext cx="9725025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>
              <a:latin typeface="Times New Roman"/>
              <a:ea typeface="Times New Roman"/>
              <a:cs typeface="Times New Roman"/>
            </a:rPr>
            <a:t>  Зміни розподілу видатків обласного бюджету на 2009 рік
за головними розпорядниками коштів
</a:t>
          </a:r>
          <a:r>
            <a:rPr lang="en-US" cap="none" sz="1000" b="1" i="0" u="none" baseline="0">
              <a:latin typeface="Times New Roman"/>
              <a:ea typeface="Times New Roman"/>
              <a:cs typeface="Times New Roman"/>
            </a:rPr>
            <a:t>
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438150</xdr:colOff>
      <xdr:row>6</xdr:row>
      <xdr:rowOff>200025</xdr:rowOff>
    </xdr:from>
    <xdr:to>
      <xdr:col>12</xdr:col>
      <xdr:colOff>304800</xdr:colOff>
      <xdr:row>6</xdr:row>
      <xdr:rowOff>200025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1009650" y="1466850"/>
          <a:ext cx="12011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Times New Roman"/>
              <a:ea typeface="Times New Roman"/>
              <a:cs typeface="Times New Roman"/>
            </a:rPr>
            <a:t>Видатки обласного бюджету на 2002 рік за функціональною структурою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4;&#1086;&#1076;&#1072;&#1090;&#1086;&#1082;%201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даток 1уточ."/>
    </sheetNames>
    <sheetDataSet>
      <sheetData sheetId="0">
        <row r="25">
          <cell r="C25">
            <v>7441411</v>
          </cell>
          <cell r="D25">
            <v>2377000</v>
          </cell>
          <cell r="E25">
            <v>2377000</v>
          </cell>
          <cell r="F25">
            <v>9818411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2"/>
  <sheetViews>
    <sheetView showZeros="0" tabSelected="1" view="pageBreakPreview" zoomScaleSheetLayoutView="100" workbookViewId="0" topLeftCell="A4">
      <pane xSplit="2" ySplit="2" topLeftCell="C94" activePane="bottomRight" state="frozen"/>
      <selection pane="topLeft" activeCell="A4" sqref="A4"/>
      <selection pane="topRight" activeCell="C4" sqref="C4"/>
      <selection pane="bottomLeft" activeCell="A6" sqref="A6"/>
      <selection pane="bottomRight" activeCell="T98" sqref="T98"/>
    </sheetView>
  </sheetViews>
  <sheetFormatPr defaultColWidth="9.33203125" defaultRowHeight="12.75"/>
  <cols>
    <col min="1" max="1" width="12" style="17" customWidth="1"/>
    <col min="2" max="2" width="40.83203125" style="12" customWidth="1"/>
    <col min="3" max="3" width="20.66015625" style="1" customWidth="1"/>
    <col min="4" max="4" width="20.33203125" style="0" customWidth="1"/>
    <col min="5" max="5" width="19" style="0" customWidth="1"/>
    <col min="6" max="6" width="16.16015625" style="0" customWidth="1"/>
    <col min="7" max="7" width="16.33203125" style="0" customWidth="1"/>
    <col min="8" max="8" width="18.5" style="5" customWidth="1"/>
    <col min="9" max="9" width="17.83203125" style="0" customWidth="1"/>
    <col min="10" max="10" width="13.16015625" style="0" customWidth="1"/>
    <col min="11" max="11" width="14.33203125" style="0" customWidth="1"/>
    <col min="12" max="12" width="16.5" style="0" customWidth="1"/>
    <col min="13" max="13" width="16.16015625" style="0" customWidth="1"/>
    <col min="14" max="14" width="20.33203125" style="1" customWidth="1"/>
    <col min="15" max="15" width="17.33203125" style="0" customWidth="1"/>
  </cols>
  <sheetData>
    <row r="1" spans="1:3" ht="12.75">
      <c r="A1" s="37"/>
      <c r="B1" s="36"/>
      <c r="C1" s="38"/>
    </row>
    <row r="2" spans="1:14" ht="105" customHeight="1" thickBot="1">
      <c r="A2" s="14"/>
      <c r="B2" s="36"/>
      <c r="N2" s="13" t="s">
        <v>12</v>
      </c>
    </row>
    <row r="3" spans="1:14" ht="49.5" customHeight="1" thickBot="1">
      <c r="A3" s="48" t="s">
        <v>14</v>
      </c>
      <c r="B3" s="48" t="s">
        <v>9</v>
      </c>
      <c r="C3" s="175" t="s">
        <v>3</v>
      </c>
      <c r="D3" s="175"/>
      <c r="E3" s="175"/>
      <c r="F3" s="175"/>
      <c r="G3" s="175"/>
      <c r="H3" s="176" t="s">
        <v>5</v>
      </c>
      <c r="I3" s="177"/>
      <c r="J3" s="177"/>
      <c r="K3" s="177"/>
      <c r="L3" s="177"/>
      <c r="M3" s="178"/>
      <c r="N3" s="170" t="s">
        <v>2</v>
      </c>
    </row>
    <row r="4" spans="1:14" ht="23.25" customHeight="1" thickBot="1">
      <c r="A4" s="167" t="s">
        <v>13</v>
      </c>
      <c r="B4" s="167" t="s">
        <v>15</v>
      </c>
      <c r="C4" s="173" t="s">
        <v>4</v>
      </c>
      <c r="D4" s="174" t="s">
        <v>24</v>
      </c>
      <c r="E4" s="173" t="s">
        <v>6</v>
      </c>
      <c r="F4" s="173"/>
      <c r="G4" s="174" t="s">
        <v>27</v>
      </c>
      <c r="H4" s="173" t="s">
        <v>4</v>
      </c>
      <c r="I4" s="174" t="s">
        <v>24</v>
      </c>
      <c r="J4" s="173" t="s">
        <v>6</v>
      </c>
      <c r="K4" s="173"/>
      <c r="L4" s="174" t="s">
        <v>27</v>
      </c>
      <c r="M4" s="179" t="s">
        <v>28</v>
      </c>
      <c r="N4" s="171"/>
    </row>
    <row r="5" spans="1:14" ht="78.75" customHeight="1" thickBot="1">
      <c r="A5" s="168"/>
      <c r="B5" s="168"/>
      <c r="C5" s="173"/>
      <c r="D5" s="174"/>
      <c r="E5" s="65" t="s">
        <v>25</v>
      </c>
      <c r="F5" s="65" t="s">
        <v>26</v>
      </c>
      <c r="G5" s="174"/>
      <c r="H5" s="173"/>
      <c r="I5" s="174"/>
      <c r="J5" s="65" t="s">
        <v>25</v>
      </c>
      <c r="K5" s="65" t="s">
        <v>26</v>
      </c>
      <c r="L5" s="174"/>
      <c r="M5" s="180"/>
      <c r="N5" s="172"/>
    </row>
    <row r="6" spans="1:14" ht="25.5" customHeight="1" thickBot="1">
      <c r="A6" s="83">
        <v>1</v>
      </c>
      <c r="B6" s="84">
        <v>2</v>
      </c>
      <c r="C6" s="85">
        <v>3</v>
      </c>
      <c r="D6" s="86">
        <v>4</v>
      </c>
      <c r="E6" s="86">
        <v>5</v>
      </c>
      <c r="F6" s="86">
        <v>6</v>
      </c>
      <c r="G6" s="86">
        <v>7</v>
      </c>
      <c r="H6" s="87">
        <v>8</v>
      </c>
      <c r="I6" s="86">
        <v>9</v>
      </c>
      <c r="J6" s="86">
        <v>10</v>
      </c>
      <c r="K6" s="86">
        <v>11</v>
      </c>
      <c r="L6" s="86">
        <v>12</v>
      </c>
      <c r="M6" s="86">
        <v>13</v>
      </c>
      <c r="N6" s="88" t="s">
        <v>29</v>
      </c>
    </row>
    <row r="7" spans="1:15" s="40" customFormat="1" ht="16.5">
      <c r="A7" s="99" t="s">
        <v>17</v>
      </c>
      <c r="B7" s="100" t="s">
        <v>8</v>
      </c>
      <c r="C7" s="89">
        <f aca="true" t="shared" si="0" ref="C7:C101">D7+G7</f>
        <v>393070</v>
      </c>
      <c r="D7" s="89">
        <f>D8+D9</f>
        <v>393070</v>
      </c>
      <c r="E7" s="89">
        <f aca="true" t="shared" si="1" ref="E7:M7">E8+E9</f>
        <v>0</v>
      </c>
      <c r="F7" s="89">
        <f t="shared" si="1"/>
        <v>254870</v>
      </c>
      <c r="G7" s="89">
        <f t="shared" si="1"/>
        <v>0</v>
      </c>
      <c r="H7" s="89">
        <f t="shared" si="1"/>
        <v>354000</v>
      </c>
      <c r="I7" s="89">
        <f t="shared" si="1"/>
        <v>0</v>
      </c>
      <c r="J7" s="89">
        <f t="shared" si="1"/>
        <v>0</v>
      </c>
      <c r="K7" s="89">
        <f t="shared" si="1"/>
        <v>0</v>
      </c>
      <c r="L7" s="89">
        <f t="shared" si="1"/>
        <v>354000</v>
      </c>
      <c r="M7" s="89">
        <f t="shared" si="1"/>
        <v>354000</v>
      </c>
      <c r="N7" s="89">
        <f aca="true" t="shared" si="2" ref="N7:N65">SUM(H7,C7)</f>
        <v>747070</v>
      </c>
      <c r="O7" s="51">
        <f aca="true" t="shared" si="3" ref="O7:O74">C7+H7</f>
        <v>747070</v>
      </c>
    </row>
    <row r="8" spans="1:15" s="8" customFormat="1" ht="16.5">
      <c r="A8" s="75" t="s">
        <v>40</v>
      </c>
      <c r="B8" s="76" t="s">
        <v>41</v>
      </c>
      <c r="C8" s="61">
        <f t="shared" si="0"/>
        <v>393070</v>
      </c>
      <c r="D8" s="56">
        <f>393075-5</f>
        <v>393070</v>
      </c>
      <c r="E8" s="56"/>
      <c r="F8" s="56">
        <f>254875-5</f>
        <v>254870</v>
      </c>
      <c r="G8" s="56"/>
      <c r="H8" s="56"/>
      <c r="I8" s="56"/>
      <c r="J8" s="56"/>
      <c r="K8" s="56"/>
      <c r="L8" s="56"/>
      <c r="M8" s="56"/>
      <c r="N8" s="55">
        <f t="shared" si="2"/>
        <v>393070</v>
      </c>
      <c r="O8" s="51">
        <f t="shared" si="3"/>
        <v>393070</v>
      </c>
    </row>
    <row r="9" spans="1:15" s="8" customFormat="1" ht="78.75">
      <c r="A9" s="75" t="s">
        <v>82</v>
      </c>
      <c r="B9" s="77" t="s">
        <v>83</v>
      </c>
      <c r="C9" s="61">
        <f t="shared" si="0"/>
        <v>0</v>
      </c>
      <c r="D9" s="56"/>
      <c r="E9" s="56"/>
      <c r="F9" s="56"/>
      <c r="G9" s="56"/>
      <c r="H9" s="61">
        <f>I9+L9</f>
        <v>354000</v>
      </c>
      <c r="I9" s="56"/>
      <c r="J9" s="56"/>
      <c r="K9" s="56"/>
      <c r="L9" s="56">
        <f>L10+L11</f>
        <v>354000</v>
      </c>
      <c r="M9" s="56">
        <f>M10+M11</f>
        <v>354000</v>
      </c>
      <c r="N9" s="55">
        <f t="shared" si="2"/>
        <v>354000</v>
      </c>
      <c r="O9" s="51">
        <f t="shared" si="3"/>
        <v>354000</v>
      </c>
    </row>
    <row r="10" spans="1:15" s="8" customFormat="1" ht="47.25">
      <c r="A10" s="75" t="s">
        <v>30</v>
      </c>
      <c r="B10" s="77" t="s">
        <v>238</v>
      </c>
      <c r="C10" s="61"/>
      <c r="D10" s="56"/>
      <c r="E10" s="56"/>
      <c r="F10" s="56"/>
      <c r="G10" s="56"/>
      <c r="H10" s="61">
        <f>I10+L10</f>
        <v>54000</v>
      </c>
      <c r="I10" s="56"/>
      <c r="J10" s="56"/>
      <c r="K10" s="56"/>
      <c r="L10" s="56">
        <v>54000</v>
      </c>
      <c r="M10" s="56">
        <v>54000</v>
      </c>
      <c r="N10" s="55">
        <f t="shared" si="2"/>
        <v>54000</v>
      </c>
      <c r="O10" s="51">
        <f t="shared" si="3"/>
        <v>54000</v>
      </c>
    </row>
    <row r="11" spans="1:15" s="8" customFormat="1" ht="47.25">
      <c r="A11" s="75"/>
      <c r="B11" s="77" t="s">
        <v>237</v>
      </c>
      <c r="C11" s="61"/>
      <c r="D11" s="56"/>
      <c r="E11" s="56"/>
      <c r="F11" s="56"/>
      <c r="G11" s="56"/>
      <c r="H11" s="61">
        <f>I11+L11</f>
        <v>300000</v>
      </c>
      <c r="I11" s="56"/>
      <c r="J11" s="56"/>
      <c r="K11" s="56"/>
      <c r="L11" s="56">
        <v>300000</v>
      </c>
      <c r="M11" s="56">
        <v>300000</v>
      </c>
      <c r="N11" s="55">
        <f t="shared" si="2"/>
        <v>300000</v>
      </c>
      <c r="O11" s="51">
        <f t="shared" si="3"/>
        <v>300000</v>
      </c>
    </row>
    <row r="12" spans="1:15" s="8" customFormat="1" ht="16.5">
      <c r="A12" s="90" t="s">
        <v>32</v>
      </c>
      <c r="B12" s="91" t="s">
        <v>33</v>
      </c>
      <c r="C12" s="64">
        <f t="shared" si="0"/>
        <v>761000</v>
      </c>
      <c r="D12" s="64">
        <f>D13+D15</f>
        <v>50000</v>
      </c>
      <c r="E12" s="64">
        <f aca="true" t="shared" si="4" ref="E12:M12">E13+E15</f>
        <v>0</v>
      </c>
      <c r="F12" s="64">
        <f t="shared" si="4"/>
        <v>0</v>
      </c>
      <c r="G12" s="64">
        <f t="shared" si="4"/>
        <v>711000</v>
      </c>
      <c r="H12" s="64">
        <f t="shared" si="4"/>
        <v>0</v>
      </c>
      <c r="I12" s="64">
        <f t="shared" si="4"/>
        <v>0</v>
      </c>
      <c r="J12" s="64">
        <f t="shared" si="4"/>
        <v>0</v>
      </c>
      <c r="K12" s="64">
        <f t="shared" si="4"/>
        <v>0</v>
      </c>
      <c r="L12" s="64">
        <f t="shared" si="4"/>
        <v>0</v>
      </c>
      <c r="M12" s="64">
        <f t="shared" si="4"/>
        <v>0</v>
      </c>
      <c r="N12" s="68">
        <f t="shared" si="2"/>
        <v>761000</v>
      </c>
      <c r="O12" s="51">
        <f t="shared" si="3"/>
        <v>761000</v>
      </c>
    </row>
    <row r="13" spans="1:15" s="8" customFormat="1" ht="16.5">
      <c r="A13" s="75" t="s">
        <v>94</v>
      </c>
      <c r="B13" s="76" t="s">
        <v>95</v>
      </c>
      <c r="C13" s="61">
        <f t="shared" si="0"/>
        <v>412000</v>
      </c>
      <c r="D13" s="56">
        <f>D14</f>
        <v>50000</v>
      </c>
      <c r="E13" s="56">
        <f aca="true" t="shared" si="5" ref="E13:M13">E14</f>
        <v>0</v>
      </c>
      <c r="F13" s="56">
        <f t="shared" si="5"/>
        <v>0</v>
      </c>
      <c r="G13" s="56">
        <f t="shared" si="5"/>
        <v>362000</v>
      </c>
      <c r="H13" s="56">
        <f t="shared" si="5"/>
        <v>0</v>
      </c>
      <c r="I13" s="56">
        <f t="shared" si="5"/>
        <v>0</v>
      </c>
      <c r="J13" s="56">
        <f t="shared" si="5"/>
        <v>0</v>
      </c>
      <c r="K13" s="56">
        <f t="shared" si="5"/>
        <v>0</v>
      </c>
      <c r="L13" s="56">
        <f t="shared" si="5"/>
        <v>0</v>
      </c>
      <c r="M13" s="56">
        <f t="shared" si="5"/>
        <v>0</v>
      </c>
      <c r="N13" s="55">
        <f t="shared" si="2"/>
        <v>412000</v>
      </c>
      <c r="O13" s="51">
        <f t="shared" si="3"/>
        <v>412000</v>
      </c>
    </row>
    <row r="14" spans="1:15" s="8" customFormat="1" ht="30">
      <c r="A14" s="75" t="s">
        <v>30</v>
      </c>
      <c r="B14" s="139" t="s">
        <v>118</v>
      </c>
      <c r="C14" s="61">
        <f t="shared" si="0"/>
        <v>412000</v>
      </c>
      <c r="D14" s="56">
        <v>50000</v>
      </c>
      <c r="E14" s="56"/>
      <c r="F14" s="56"/>
      <c r="G14" s="56">
        <v>362000</v>
      </c>
      <c r="H14" s="57"/>
      <c r="I14" s="56"/>
      <c r="J14" s="56"/>
      <c r="K14" s="56"/>
      <c r="L14" s="56"/>
      <c r="M14" s="56"/>
      <c r="N14" s="55">
        <f t="shared" si="2"/>
        <v>412000</v>
      </c>
      <c r="O14" s="51">
        <f t="shared" si="3"/>
        <v>412000</v>
      </c>
    </row>
    <row r="15" spans="1:15" s="8" customFormat="1" ht="60">
      <c r="A15" s="131" t="s">
        <v>124</v>
      </c>
      <c r="B15" s="79" t="s">
        <v>125</v>
      </c>
      <c r="C15" s="61">
        <f t="shared" si="0"/>
        <v>349000</v>
      </c>
      <c r="D15" s="56">
        <f>D16</f>
        <v>0</v>
      </c>
      <c r="E15" s="56">
        <f aca="true" t="shared" si="6" ref="E15:M15">E16</f>
        <v>0</v>
      </c>
      <c r="F15" s="56">
        <f t="shared" si="6"/>
        <v>0</v>
      </c>
      <c r="G15" s="56">
        <f t="shared" si="6"/>
        <v>349000</v>
      </c>
      <c r="H15" s="56">
        <f t="shared" si="6"/>
        <v>0</v>
      </c>
      <c r="I15" s="56">
        <f t="shared" si="6"/>
        <v>0</v>
      </c>
      <c r="J15" s="56">
        <f t="shared" si="6"/>
        <v>0</v>
      </c>
      <c r="K15" s="56">
        <f t="shared" si="6"/>
        <v>0</v>
      </c>
      <c r="L15" s="56">
        <f t="shared" si="6"/>
        <v>0</v>
      </c>
      <c r="M15" s="56">
        <f t="shared" si="6"/>
        <v>0</v>
      </c>
      <c r="N15" s="55">
        <f t="shared" si="2"/>
        <v>349000</v>
      </c>
      <c r="O15" s="51">
        <f t="shared" si="3"/>
        <v>349000</v>
      </c>
    </row>
    <row r="16" spans="1:15" s="8" customFormat="1" ht="45">
      <c r="A16" s="131" t="s">
        <v>30</v>
      </c>
      <c r="B16" s="139" t="s">
        <v>126</v>
      </c>
      <c r="C16" s="61">
        <f t="shared" si="0"/>
        <v>349000</v>
      </c>
      <c r="D16" s="56"/>
      <c r="E16" s="56"/>
      <c r="F16" s="56"/>
      <c r="G16" s="56">
        <f>69000+280000</f>
        <v>349000</v>
      </c>
      <c r="H16" s="57"/>
      <c r="I16" s="56"/>
      <c r="J16" s="56"/>
      <c r="K16" s="56"/>
      <c r="L16" s="56"/>
      <c r="M16" s="56"/>
      <c r="N16" s="55">
        <f t="shared" si="2"/>
        <v>349000</v>
      </c>
      <c r="O16" s="51">
        <f t="shared" si="3"/>
        <v>349000</v>
      </c>
    </row>
    <row r="17" spans="1:15" s="8" customFormat="1" ht="49.5" customHeight="1">
      <c r="A17" s="92" t="s">
        <v>119</v>
      </c>
      <c r="B17" s="93" t="s">
        <v>120</v>
      </c>
      <c r="C17" s="64">
        <f t="shared" si="0"/>
        <v>12000</v>
      </c>
      <c r="D17" s="64">
        <f>D18</f>
        <v>12000</v>
      </c>
      <c r="E17" s="64">
        <f aca="true" t="shared" si="7" ref="E17:M17">E18</f>
        <v>1446</v>
      </c>
      <c r="F17" s="64">
        <f t="shared" si="7"/>
        <v>0</v>
      </c>
      <c r="G17" s="64">
        <f t="shared" si="7"/>
        <v>0</v>
      </c>
      <c r="H17" s="64">
        <f t="shared" si="7"/>
        <v>0</v>
      </c>
      <c r="I17" s="64">
        <f t="shared" si="7"/>
        <v>0</v>
      </c>
      <c r="J17" s="64">
        <f t="shared" si="7"/>
        <v>0</v>
      </c>
      <c r="K17" s="64">
        <f t="shared" si="7"/>
        <v>0</v>
      </c>
      <c r="L17" s="64">
        <f t="shared" si="7"/>
        <v>0</v>
      </c>
      <c r="M17" s="64">
        <f t="shared" si="7"/>
        <v>0</v>
      </c>
      <c r="N17" s="68">
        <f>H17+C17</f>
        <v>12000</v>
      </c>
      <c r="O17" s="51">
        <f t="shared" si="3"/>
        <v>12000</v>
      </c>
    </row>
    <row r="18" spans="1:15" s="8" customFormat="1" ht="16.5">
      <c r="A18" s="75" t="s">
        <v>94</v>
      </c>
      <c r="B18" s="137" t="s">
        <v>122</v>
      </c>
      <c r="C18" s="61">
        <f t="shared" si="0"/>
        <v>12000</v>
      </c>
      <c r="D18" s="56">
        <f>D20+D19</f>
        <v>12000</v>
      </c>
      <c r="E18" s="56">
        <f aca="true" t="shared" si="8" ref="E18:M18">E20+E19</f>
        <v>1446</v>
      </c>
      <c r="F18" s="56">
        <f t="shared" si="8"/>
        <v>0</v>
      </c>
      <c r="G18" s="56">
        <f t="shared" si="8"/>
        <v>0</v>
      </c>
      <c r="H18" s="56">
        <f t="shared" si="8"/>
        <v>0</v>
      </c>
      <c r="I18" s="56">
        <f t="shared" si="8"/>
        <v>0</v>
      </c>
      <c r="J18" s="56">
        <f t="shared" si="8"/>
        <v>0</v>
      </c>
      <c r="K18" s="56">
        <f t="shared" si="8"/>
        <v>0</v>
      </c>
      <c r="L18" s="56">
        <f t="shared" si="8"/>
        <v>0</v>
      </c>
      <c r="M18" s="56">
        <f t="shared" si="8"/>
        <v>0</v>
      </c>
      <c r="N18" s="55">
        <f t="shared" si="2"/>
        <v>12000</v>
      </c>
      <c r="O18" s="51">
        <f t="shared" si="3"/>
        <v>12000</v>
      </c>
    </row>
    <row r="19" spans="1:15" s="8" customFormat="1" ht="45">
      <c r="A19" s="75" t="s">
        <v>30</v>
      </c>
      <c r="B19" s="137" t="s">
        <v>123</v>
      </c>
      <c r="C19" s="61">
        <f t="shared" si="0"/>
        <v>2000</v>
      </c>
      <c r="D19" s="56">
        <v>2000</v>
      </c>
      <c r="E19" s="56">
        <v>1446</v>
      </c>
      <c r="F19" s="56"/>
      <c r="G19" s="56"/>
      <c r="H19" s="57"/>
      <c r="I19" s="56"/>
      <c r="J19" s="56"/>
      <c r="K19" s="56"/>
      <c r="L19" s="56"/>
      <c r="M19" s="56"/>
      <c r="N19" s="55">
        <f t="shared" si="2"/>
        <v>2000</v>
      </c>
      <c r="O19" s="51">
        <f t="shared" si="3"/>
        <v>2000</v>
      </c>
    </row>
    <row r="20" spans="1:15" s="8" customFormat="1" ht="83.25" customHeight="1">
      <c r="A20" s="75"/>
      <c r="B20" s="136" t="s">
        <v>121</v>
      </c>
      <c r="C20" s="61">
        <f t="shared" si="0"/>
        <v>10000</v>
      </c>
      <c r="D20" s="56">
        <v>10000</v>
      </c>
      <c r="E20" s="56"/>
      <c r="F20" s="56"/>
      <c r="G20" s="56"/>
      <c r="H20" s="57"/>
      <c r="I20" s="56"/>
      <c r="J20" s="56"/>
      <c r="K20" s="56"/>
      <c r="L20" s="56"/>
      <c r="M20" s="56"/>
      <c r="N20" s="55">
        <f t="shared" si="2"/>
        <v>10000</v>
      </c>
      <c r="O20" s="51">
        <f t="shared" si="3"/>
        <v>10000</v>
      </c>
    </row>
    <row r="21" spans="1:15" s="8" customFormat="1" ht="48.75" customHeight="1">
      <c r="A21" s="92" t="s">
        <v>67</v>
      </c>
      <c r="B21" s="140" t="s">
        <v>68</v>
      </c>
      <c r="C21" s="64">
        <f>D21+G21</f>
        <v>45000</v>
      </c>
      <c r="D21" s="64">
        <f>D22</f>
        <v>45000</v>
      </c>
      <c r="E21" s="133"/>
      <c r="F21" s="133"/>
      <c r="G21" s="133"/>
      <c r="H21" s="68"/>
      <c r="I21" s="133"/>
      <c r="J21" s="133"/>
      <c r="K21" s="133"/>
      <c r="L21" s="133"/>
      <c r="M21" s="133"/>
      <c r="N21" s="68">
        <f>C21+H21</f>
        <v>45000</v>
      </c>
      <c r="O21" s="51">
        <f t="shared" si="3"/>
        <v>45000</v>
      </c>
    </row>
    <row r="22" spans="1:15" s="8" customFormat="1" ht="31.5">
      <c r="A22" s="75" t="s">
        <v>69</v>
      </c>
      <c r="B22" s="136" t="s">
        <v>70</v>
      </c>
      <c r="C22" s="61">
        <f>D22+G22</f>
        <v>45000</v>
      </c>
      <c r="D22" s="56">
        <f>D23</f>
        <v>45000</v>
      </c>
      <c r="E22" s="56"/>
      <c r="F22" s="56"/>
      <c r="G22" s="56"/>
      <c r="H22" s="57"/>
      <c r="I22" s="56"/>
      <c r="J22" s="56"/>
      <c r="K22" s="56"/>
      <c r="L22" s="56"/>
      <c r="M22" s="56"/>
      <c r="N22" s="55">
        <f t="shared" si="2"/>
        <v>45000</v>
      </c>
      <c r="O22" s="51">
        <f t="shared" si="3"/>
        <v>45000</v>
      </c>
    </row>
    <row r="23" spans="1:15" s="8" customFormat="1" ht="47.25">
      <c r="A23" s="141" t="s">
        <v>30</v>
      </c>
      <c r="B23" s="136" t="s">
        <v>71</v>
      </c>
      <c r="C23" s="61">
        <f>D23+G23</f>
        <v>45000</v>
      </c>
      <c r="D23" s="56">
        <v>45000</v>
      </c>
      <c r="E23" s="56"/>
      <c r="F23" s="56"/>
      <c r="G23" s="56"/>
      <c r="H23" s="57"/>
      <c r="I23" s="56"/>
      <c r="J23" s="56"/>
      <c r="K23" s="56"/>
      <c r="L23" s="56"/>
      <c r="M23" s="56"/>
      <c r="N23" s="55">
        <f t="shared" si="2"/>
        <v>45000</v>
      </c>
      <c r="O23" s="51">
        <f t="shared" si="3"/>
        <v>45000</v>
      </c>
    </row>
    <row r="24" spans="1:15" s="8" customFormat="1" ht="31.5">
      <c r="A24" s="92" t="s">
        <v>84</v>
      </c>
      <c r="B24" s="94" t="s">
        <v>85</v>
      </c>
      <c r="C24" s="64">
        <f aca="true" t="shared" si="9" ref="C24:C57">D24+G24</f>
        <v>757000</v>
      </c>
      <c r="D24" s="64">
        <f>D25+D26+D27+D28+D29+D30+D31+D32+D33+D34+D37+D35</f>
        <v>542000</v>
      </c>
      <c r="E24" s="64">
        <f aca="true" t="shared" si="10" ref="E24:M24">E25+E26+E27+E28+E29+E30+E31+E32+E33+E34+E37+E35</f>
        <v>0</v>
      </c>
      <c r="F24" s="64">
        <f t="shared" si="10"/>
        <v>405000</v>
      </c>
      <c r="G24" s="64">
        <f t="shared" si="10"/>
        <v>215000</v>
      </c>
      <c r="H24" s="64">
        <f t="shared" si="10"/>
        <v>0</v>
      </c>
      <c r="I24" s="64">
        <f t="shared" si="10"/>
        <v>0</v>
      </c>
      <c r="J24" s="64">
        <f t="shared" si="10"/>
        <v>0</v>
      </c>
      <c r="K24" s="64">
        <f t="shared" si="10"/>
        <v>0</v>
      </c>
      <c r="L24" s="64">
        <f t="shared" si="10"/>
        <v>0</v>
      </c>
      <c r="M24" s="64">
        <f t="shared" si="10"/>
        <v>0</v>
      </c>
      <c r="N24" s="68">
        <f>C24+H24</f>
        <v>757000</v>
      </c>
      <c r="O24" s="51">
        <f t="shared" si="3"/>
        <v>757000</v>
      </c>
    </row>
    <row r="25" spans="1:15" s="8" customFormat="1" ht="45">
      <c r="A25" s="75" t="s">
        <v>149</v>
      </c>
      <c r="B25" s="142" t="s">
        <v>150</v>
      </c>
      <c r="C25" s="61">
        <f t="shared" si="9"/>
        <v>41000</v>
      </c>
      <c r="D25" s="56">
        <f>35000-49000+6000</f>
        <v>-8000</v>
      </c>
      <c r="E25" s="56"/>
      <c r="F25" s="56">
        <v>35000</v>
      </c>
      <c r="G25" s="56">
        <v>49000</v>
      </c>
      <c r="H25" s="55"/>
      <c r="I25" s="56"/>
      <c r="J25" s="56"/>
      <c r="K25" s="56"/>
      <c r="L25" s="56"/>
      <c r="M25" s="56"/>
      <c r="N25" s="55">
        <f t="shared" si="2"/>
        <v>41000</v>
      </c>
      <c r="O25" s="51">
        <f t="shared" si="3"/>
        <v>41000</v>
      </c>
    </row>
    <row r="26" spans="1:15" s="8" customFormat="1" ht="45">
      <c r="A26" s="75" t="s">
        <v>151</v>
      </c>
      <c r="B26" s="142" t="s">
        <v>152</v>
      </c>
      <c r="C26" s="61">
        <f t="shared" si="9"/>
        <v>50000</v>
      </c>
      <c r="D26" s="56">
        <f>47000+3000</f>
        <v>50000</v>
      </c>
      <c r="E26" s="56"/>
      <c r="F26" s="56">
        <v>47000</v>
      </c>
      <c r="G26" s="56"/>
      <c r="H26" s="55"/>
      <c r="I26" s="56"/>
      <c r="J26" s="56"/>
      <c r="K26" s="56"/>
      <c r="L26" s="56"/>
      <c r="M26" s="56"/>
      <c r="N26" s="55">
        <f t="shared" si="2"/>
        <v>50000</v>
      </c>
      <c r="O26" s="51">
        <f t="shared" si="3"/>
        <v>50000</v>
      </c>
    </row>
    <row r="27" spans="1:15" s="8" customFormat="1" ht="30">
      <c r="A27" s="75" t="s">
        <v>153</v>
      </c>
      <c r="B27" s="148" t="s">
        <v>154</v>
      </c>
      <c r="C27" s="61">
        <f t="shared" si="9"/>
        <v>23000</v>
      </c>
      <c r="D27" s="56">
        <f>20000+6000-3000</f>
        <v>23000</v>
      </c>
      <c r="E27" s="56"/>
      <c r="F27" s="56">
        <v>20000</v>
      </c>
      <c r="G27" s="56"/>
      <c r="H27" s="55"/>
      <c r="I27" s="56"/>
      <c r="J27" s="56"/>
      <c r="K27" s="56"/>
      <c r="L27" s="56"/>
      <c r="M27" s="56"/>
      <c r="N27" s="55">
        <f t="shared" si="2"/>
        <v>23000</v>
      </c>
      <c r="O27" s="51">
        <f t="shared" si="3"/>
        <v>23000</v>
      </c>
    </row>
    <row r="28" spans="1:15" s="8" customFormat="1" ht="60">
      <c r="A28" s="75" t="s">
        <v>155</v>
      </c>
      <c r="B28" s="142" t="s">
        <v>156</v>
      </c>
      <c r="C28" s="61">
        <f t="shared" si="9"/>
        <v>213000</v>
      </c>
      <c r="D28" s="56">
        <f>180000+30000+3000</f>
        <v>213000</v>
      </c>
      <c r="E28" s="56"/>
      <c r="F28" s="56">
        <v>180000</v>
      </c>
      <c r="G28" s="56"/>
      <c r="H28" s="55"/>
      <c r="I28" s="56"/>
      <c r="J28" s="56"/>
      <c r="K28" s="56"/>
      <c r="L28" s="56"/>
      <c r="M28" s="56"/>
      <c r="N28" s="55">
        <f t="shared" si="2"/>
        <v>213000</v>
      </c>
      <c r="O28" s="51">
        <f t="shared" si="3"/>
        <v>213000</v>
      </c>
    </row>
    <row r="29" spans="1:15" s="8" customFormat="1" ht="120">
      <c r="A29" s="75" t="s">
        <v>157</v>
      </c>
      <c r="B29" s="142" t="s">
        <v>158</v>
      </c>
      <c r="C29" s="61">
        <f t="shared" si="9"/>
        <v>38000</v>
      </c>
      <c r="D29" s="56">
        <f>35000+3000</f>
        <v>38000</v>
      </c>
      <c r="E29" s="56"/>
      <c r="F29" s="56">
        <v>35000</v>
      </c>
      <c r="G29" s="56"/>
      <c r="H29" s="55"/>
      <c r="I29" s="56"/>
      <c r="J29" s="56"/>
      <c r="K29" s="56"/>
      <c r="L29" s="56"/>
      <c r="M29" s="56"/>
      <c r="N29" s="55">
        <f t="shared" si="2"/>
        <v>38000</v>
      </c>
      <c r="O29" s="51">
        <f t="shared" si="3"/>
        <v>38000</v>
      </c>
    </row>
    <row r="30" spans="1:15" s="8" customFormat="1" ht="30">
      <c r="A30" s="75" t="s">
        <v>159</v>
      </c>
      <c r="B30" s="142" t="s">
        <v>160</v>
      </c>
      <c r="C30" s="61">
        <f t="shared" si="9"/>
        <v>48000</v>
      </c>
      <c r="D30" s="56">
        <f>36000+12000</f>
        <v>48000</v>
      </c>
      <c r="E30" s="56"/>
      <c r="F30" s="56">
        <v>36000</v>
      </c>
      <c r="G30" s="56"/>
      <c r="H30" s="55"/>
      <c r="I30" s="56"/>
      <c r="J30" s="56"/>
      <c r="K30" s="56"/>
      <c r="L30" s="56"/>
      <c r="M30" s="56"/>
      <c r="N30" s="55">
        <f t="shared" si="2"/>
        <v>48000</v>
      </c>
      <c r="O30" s="51">
        <f t="shared" si="3"/>
        <v>48000</v>
      </c>
    </row>
    <row r="31" spans="1:15" s="8" customFormat="1" ht="30">
      <c r="A31" s="75" t="s">
        <v>161</v>
      </c>
      <c r="B31" s="142" t="s">
        <v>162</v>
      </c>
      <c r="C31" s="61">
        <f t="shared" si="9"/>
        <v>48000</v>
      </c>
      <c r="D31" s="56">
        <f>45000+3000</f>
        <v>48000</v>
      </c>
      <c r="E31" s="56"/>
      <c r="F31" s="56">
        <v>45000</v>
      </c>
      <c r="G31" s="56"/>
      <c r="H31" s="55"/>
      <c r="I31" s="56"/>
      <c r="J31" s="56"/>
      <c r="K31" s="56"/>
      <c r="L31" s="56"/>
      <c r="M31" s="56"/>
      <c r="N31" s="55">
        <f t="shared" si="2"/>
        <v>48000</v>
      </c>
      <c r="O31" s="51">
        <f t="shared" si="3"/>
        <v>48000</v>
      </c>
    </row>
    <row r="32" spans="1:15" s="8" customFormat="1" ht="16.5">
      <c r="A32" s="75" t="s">
        <v>163</v>
      </c>
      <c r="B32" s="142" t="s">
        <v>164</v>
      </c>
      <c r="C32" s="61">
        <f t="shared" si="9"/>
        <v>1000</v>
      </c>
      <c r="D32" s="56">
        <v>1000</v>
      </c>
      <c r="E32" s="56"/>
      <c r="F32" s="56">
        <v>1000</v>
      </c>
      <c r="G32" s="56"/>
      <c r="H32" s="55"/>
      <c r="I32" s="56"/>
      <c r="J32" s="56"/>
      <c r="K32" s="56"/>
      <c r="L32" s="56"/>
      <c r="M32" s="56"/>
      <c r="N32" s="55">
        <f t="shared" si="2"/>
        <v>1000</v>
      </c>
      <c r="O32" s="51">
        <f t="shared" si="3"/>
        <v>1000</v>
      </c>
    </row>
    <row r="33" spans="1:15" s="8" customFormat="1" ht="30">
      <c r="A33" s="75" t="s">
        <v>165</v>
      </c>
      <c r="B33" s="142" t="s">
        <v>166</v>
      </c>
      <c r="C33" s="61">
        <f t="shared" si="9"/>
        <v>1000</v>
      </c>
      <c r="D33" s="56">
        <v>1000</v>
      </c>
      <c r="E33" s="56"/>
      <c r="F33" s="56">
        <v>1000</v>
      </c>
      <c r="G33" s="56"/>
      <c r="H33" s="55"/>
      <c r="I33" s="56"/>
      <c r="J33" s="56"/>
      <c r="K33" s="56"/>
      <c r="L33" s="56"/>
      <c r="M33" s="56"/>
      <c r="N33" s="55">
        <f t="shared" si="2"/>
        <v>1000</v>
      </c>
      <c r="O33" s="51">
        <f t="shared" si="3"/>
        <v>1000</v>
      </c>
    </row>
    <row r="34" spans="1:15" s="8" customFormat="1" ht="30">
      <c r="A34" s="75" t="s">
        <v>167</v>
      </c>
      <c r="B34" s="142" t="s">
        <v>168</v>
      </c>
      <c r="C34" s="61">
        <f t="shared" si="9"/>
        <v>1000</v>
      </c>
      <c r="D34" s="56">
        <v>1000</v>
      </c>
      <c r="E34" s="56"/>
      <c r="F34" s="56">
        <v>1000</v>
      </c>
      <c r="G34" s="56"/>
      <c r="H34" s="55"/>
      <c r="I34" s="56"/>
      <c r="J34" s="56"/>
      <c r="K34" s="56"/>
      <c r="L34" s="56"/>
      <c r="M34" s="56"/>
      <c r="N34" s="55">
        <f t="shared" si="2"/>
        <v>1000</v>
      </c>
      <c r="O34" s="51">
        <f t="shared" si="3"/>
        <v>1000</v>
      </c>
    </row>
    <row r="35" spans="1:15" s="8" customFormat="1" ht="16.5">
      <c r="A35" s="160" t="s">
        <v>230</v>
      </c>
      <c r="B35" s="142" t="s">
        <v>231</v>
      </c>
      <c r="C35" s="162">
        <f t="shared" si="9"/>
        <v>20000</v>
      </c>
      <c r="D35" s="56">
        <f>D36</f>
        <v>20000</v>
      </c>
      <c r="E35" s="56"/>
      <c r="F35" s="56"/>
      <c r="G35" s="56"/>
      <c r="H35" s="55"/>
      <c r="I35" s="56"/>
      <c r="J35" s="56"/>
      <c r="K35" s="56"/>
      <c r="L35" s="56"/>
      <c r="M35" s="56"/>
      <c r="N35" s="55">
        <f t="shared" si="2"/>
        <v>20000</v>
      </c>
      <c r="O35" s="51">
        <f t="shared" si="3"/>
        <v>20000</v>
      </c>
    </row>
    <row r="36" spans="1:15" s="8" customFormat="1" ht="45">
      <c r="A36" s="75"/>
      <c r="B36" s="142" t="s">
        <v>232</v>
      </c>
      <c r="C36" s="61">
        <f t="shared" si="9"/>
        <v>20000</v>
      </c>
      <c r="D36" s="56">
        <v>20000</v>
      </c>
      <c r="E36" s="56"/>
      <c r="F36" s="56"/>
      <c r="G36" s="56"/>
      <c r="H36" s="55"/>
      <c r="I36" s="56"/>
      <c r="J36" s="56"/>
      <c r="K36" s="56"/>
      <c r="L36" s="56"/>
      <c r="M36" s="56"/>
      <c r="N36" s="55">
        <f t="shared" si="2"/>
        <v>20000</v>
      </c>
      <c r="O36" s="51">
        <f t="shared" si="3"/>
        <v>20000</v>
      </c>
    </row>
    <row r="37" spans="1:15" s="8" customFormat="1" ht="45">
      <c r="A37" s="75" t="s">
        <v>86</v>
      </c>
      <c r="B37" s="142" t="s">
        <v>87</v>
      </c>
      <c r="C37" s="61">
        <f t="shared" si="9"/>
        <v>273000</v>
      </c>
      <c r="D37" s="56">
        <f>100000+4000+3000</f>
        <v>107000</v>
      </c>
      <c r="E37" s="56"/>
      <c r="F37" s="56">
        <v>4000</v>
      </c>
      <c r="G37" s="56">
        <v>166000</v>
      </c>
      <c r="H37" s="57"/>
      <c r="I37" s="56"/>
      <c r="J37" s="56"/>
      <c r="K37" s="56"/>
      <c r="L37" s="56"/>
      <c r="M37" s="56"/>
      <c r="N37" s="55">
        <f t="shared" si="2"/>
        <v>273000</v>
      </c>
      <c r="O37" s="51">
        <f t="shared" si="3"/>
        <v>273000</v>
      </c>
    </row>
    <row r="38" spans="1:15" s="8" customFormat="1" ht="31.5">
      <c r="A38" s="92" t="s">
        <v>108</v>
      </c>
      <c r="B38" s="94" t="s">
        <v>109</v>
      </c>
      <c r="C38" s="64">
        <f>D38+G38</f>
        <v>4319220</v>
      </c>
      <c r="D38" s="64">
        <f>D39+D40+D41+D42+D43+D45+D44+D46+D47+D48+D50+D56+D57+D49</f>
        <v>3340325</v>
      </c>
      <c r="E38" s="64">
        <f aca="true" t="shared" si="11" ref="E38:M38">E39+E40+E41+E42+E43+E45+E44+E46+E47+E48+E50+E56+E57+E49</f>
        <v>547300</v>
      </c>
      <c r="F38" s="64">
        <f t="shared" si="11"/>
        <v>1783100</v>
      </c>
      <c r="G38" s="64">
        <f t="shared" si="11"/>
        <v>978895</v>
      </c>
      <c r="H38" s="64">
        <f t="shared" si="11"/>
        <v>0</v>
      </c>
      <c r="I38" s="64">
        <f t="shared" si="11"/>
        <v>0</v>
      </c>
      <c r="J38" s="64">
        <f t="shared" si="11"/>
        <v>0</v>
      </c>
      <c r="K38" s="64">
        <f t="shared" si="11"/>
        <v>0</v>
      </c>
      <c r="L38" s="64">
        <f t="shared" si="11"/>
        <v>0</v>
      </c>
      <c r="M38" s="64">
        <f t="shared" si="11"/>
        <v>0</v>
      </c>
      <c r="N38" s="64">
        <f>H38+C38</f>
        <v>4319220</v>
      </c>
      <c r="O38" s="51">
        <f t="shared" si="3"/>
        <v>4319220</v>
      </c>
    </row>
    <row r="39" spans="1:15" s="8" customFormat="1" ht="30">
      <c r="A39" s="75" t="s">
        <v>169</v>
      </c>
      <c r="B39" s="144" t="s">
        <v>170</v>
      </c>
      <c r="C39" s="61">
        <f t="shared" si="9"/>
        <v>60225</v>
      </c>
      <c r="D39" s="60">
        <v>60225</v>
      </c>
      <c r="E39" s="61"/>
      <c r="F39" s="61"/>
      <c r="G39" s="61"/>
      <c r="H39" s="61"/>
      <c r="I39" s="61"/>
      <c r="J39" s="61"/>
      <c r="K39" s="61"/>
      <c r="L39" s="61"/>
      <c r="M39" s="61"/>
      <c r="N39" s="55">
        <f>C39+H39</f>
        <v>60225</v>
      </c>
      <c r="O39" s="51">
        <f t="shared" si="3"/>
        <v>60225</v>
      </c>
    </row>
    <row r="40" spans="1:15" s="8" customFormat="1" ht="16.5">
      <c r="A40" s="75" t="s">
        <v>110</v>
      </c>
      <c r="B40" s="143" t="s">
        <v>111</v>
      </c>
      <c r="C40" s="61">
        <f t="shared" si="9"/>
        <v>961695</v>
      </c>
      <c r="D40" s="56">
        <f>100000+551000</f>
        <v>651000</v>
      </c>
      <c r="E40" s="56">
        <v>30000</v>
      </c>
      <c r="F40" s="56">
        <v>510000</v>
      </c>
      <c r="G40" s="56">
        <f>198000+112695</f>
        <v>310695</v>
      </c>
      <c r="H40" s="57"/>
      <c r="I40" s="56"/>
      <c r="J40" s="56"/>
      <c r="K40" s="56"/>
      <c r="L40" s="56"/>
      <c r="M40" s="56"/>
      <c r="N40" s="55">
        <f aca="true" t="shared" si="12" ref="N40:N57">C40+H40</f>
        <v>961695</v>
      </c>
      <c r="O40" s="51">
        <f t="shared" si="3"/>
        <v>961695</v>
      </c>
    </row>
    <row r="41" spans="1:15" s="8" customFormat="1" ht="30">
      <c r="A41" s="75" t="s">
        <v>112</v>
      </c>
      <c r="B41" s="144" t="s">
        <v>113</v>
      </c>
      <c r="C41" s="61">
        <f t="shared" si="9"/>
        <v>2368200</v>
      </c>
      <c r="D41" s="56">
        <f>182500+1481500+50000+6000</f>
        <v>1720000</v>
      </c>
      <c r="E41" s="56">
        <v>373300</v>
      </c>
      <c r="F41" s="56">
        <f>972400+50000</f>
        <v>1022400</v>
      </c>
      <c r="G41" s="56">
        <f>550000+98200</f>
        <v>648200</v>
      </c>
      <c r="H41" s="57"/>
      <c r="I41" s="56"/>
      <c r="J41" s="56"/>
      <c r="K41" s="56"/>
      <c r="L41" s="56"/>
      <c r="M41" s="56"/>
      <c r="N41" s="55">
        <f t="shared" si="12"/>
        <v>2368200</v>
      </c>
      <c r="O41" s="51">
        <f t="shared" si="3"/>
        <v>2368200</v>
      </c>
    </row>
    <row r="42" spans="1:15" s="8" customFormat="1" ht="16.5">
      <c r="A42" s="75" t="s">
        <v>114</v>
      </c>
      <c r="B42" s="144" t="s">
        <v>115</v>
      </c>
      <c r="C42" s="61">
        <f t="shared" si="9"/>
        <v>195300</v>
      </c>
      <c r="D42" s="56">
        <f>42000+133300</f>
        <v>175300</v>
      </c>
      <c r="E42" s="56">
        <v>20000</v>
      </c>
      <c r="F42" s="56">
        <f>106000</f>
        <v>106000</v>
      </c>
      <c r="G42" s="56">
        <v>20000</v>
      </c>
      <c r="H42" s="57"/>
      <c r="I42" s="56"/>
      <c r="J42" s="56"/>
      <c r="K42" s="56"/>
      <c r="L42" s="56"/>
      <c r="M42" s="56"/>
      <c r="N42" s="55">
        <f t="shared" si="12"/>
        <v>195300</v>
      </c>
      <c r="O42" s="51">
        <f t="shared" si="3"/>
        <v>195300</v>
      </c>
    </row>
    <row r="43" spans="1:15" s="8" customFormat="1" ht="30">
      <c r="A43" s="75" t="s">
        <v>171</v>
      </c>
      <c r="B43" s="144" t="s">
        <v>172</v>
      </c>
      <c r="C43" s="61">
        <f t="shared" si="9"/>
        <v>25000</v>
      </c>
      <c r="D43" s="56">
        <v>25000</v>
      </c>
      <c r="E43" s="56"/>
      <c r="F43" s="56">
        <v>25000</v>
      </c>
      <c r="G43" s="56"/>
      <c r="H43" s="57"/>
      <c r="I43" s="56"/>
      <c r="J43" s="56"/>
      <c r="K43" s="56"/>
      <c r="L43" s="56"/>
      <c r="M43" s="56"/>
      <c r="N43" s="55">
        <f t="shared" si="12"/>
        <v>25000</v>
      </c>
      <c r="O43" s="51">
        <f t="shared" si="3"/>
        <v>25000</v>
      </c>
    </row>
    <row r="44" spans="1:15" s="8" customFormat="1" ht="16.5">
      <c r="A44" s="75" t="s">
        <v>173</v>
      </c>
      <c r="B44" s="144" t="s">
        <v>174</v>
      </c>
      <c r="C44" s="61">
        <f t="shared" si="9"/>
        <v>159100</v>
      </c>
      <c r="D44" s="56">
        <v>159100</v>
      </c>
      <c r="E44" s="56">
        <v>80000</v>
      </c>
      <c r="F44" s="56">
        <v>50000</v>
      </c>
      <c r="G44" s="56"/>
      <c r="H44" s="57"/>
      <c r="I44" s="56"/>
      <c r="J44" s="56"/>
      <c r="K44" s="56"/>
      <c r="L44" s="56"/>
      <c r="M44" s="56"/>
      <c r="N44" s="55">
        <f t="shared" si="12"/>
        <v>159100</v>
      </c>
      <c r="O44" s="51">
        <f t="shared" si="3"/>
        <v>159100</v>
      </c>
    </row>
    <row r="45" spans="1:15" s="8" customFormat="1" ht="16.5">
      <c r="A45" s="75" t="s">
        <v>175</v>
      </c>
      <c r="B45" s="144" t="s">
        <v>176</v>
      </c>
      <c r="C45" s="61">
        <f t="shared" si="9"/>
        <v>5000</v>
      </c>
      <c r="D45" s="56">
        <v>5000</v>
      </c>
      <c r="E45" s="56"/>
      <c r="F45" s="56">
        <v>5000</v>
      </c>
      <c r="G45" s="56"/>
      <c r="H45" s="57"/>
      <c r="I45" s="56"/>
      <c r="J45" s="56"/>
      <c r="K45" s="56"/>
      <c r="L45" s="56"/>
      <c r="M45" s="56"/>
      <c r="N45" s="55">
        <f t="shared" si="12"/>
        <v>5000</v>
      </c>
      <c r="O45" s="51">
        <f t="shared" si="3"/>
        <v>5000</v>
      </c>
    </row>
    <row r="46" spans="1:15" s="8" customFormat="1" ht="45">
      <c r="A46" s="75" t="s">
        <v>177</v>
      </c>
      <c r="B46" s="144" t="s">
        <v>178</v>
      </c>
      <c r="C46" s="61">
        <f t="shared" si="9"/>
        <v>38200</v>
      </c>
      <c r="D46" s="56">
        <v>38200</v>
      </c>
      <c r="E46" s="56">
        <v>28000</v>
      </c>
      <c r="F46" s="56"/>
      <c r="G46" s="56"/>
      <c r="H46" s="57"/>
      <c r="I46" s="56"/>
      <c r="J46" s="56"/>
      <c r="K46" s="56"/>
      <c r="L46" s="56"/>
      <c r="M46" s="56"/>
      <c r="N46" s="55">
        <f t="shared" si="12"/>
        <v>38200</v>
      </c>
      <c r="O46" s="51">
        <f t="shared" si="3"/>
        <v>38200</v>
      </c>
    </row>
    <row r="47" spans="1:15" s="8" customFormat="1" ht="30">
      <c r="A47" s="75" t="s">
        <v>179</v>
      </c>
      <c r="B47" s="144" t="s">
        <v>180</v>
      </c>
      <c r="C47" s="61">
        <f t="shared" si="9"/>
        <v>3000</v>
      </c>
      <c r="D47" s="56">
        <v>3000</v>
      </c>
      <c r="E47" s="56"/>
      <c r="F47" s="56">
        <v>3000</v>
      </c>
      <c r="G47" s="56"/>
      <c r="H47" s="57"/>
      <c r="I47" s="56"/>
      <c r="J47" s="56"/>
      <c r="K47" s="56"/>
      <c r="L47" s="56"/>
      <c r="M47" s="56"/>
      <c r="N47" s="55">
        <f t="shared" si="12"/>
        <v>3000</v>
      </c>
      <c r="O47" s="51">
        <f t="shared" si="3"/>
        <v>3000</v>
      </c>
    </row>
    <row r="48" spans="1:15" s="8" customFormat="1" ht="30">
      <c r="A48" s="75" t="s">
        <v>141</v>
      </c>
      <c r="B48" s="144" t="s">
        <v>142</v>
      </c>
      <c r="C48" s="61">
        <f t="shared" si="9"/>
        <v>30000</v>
      </c>
      <c r="D48" s="56">
        <f>20000+10000</f>
        <v>30000</v>
      </c>
      <c r="E48" s="56"/>
      <c r="F48" s="56">
        <v>10000</v>
      </c>
      <c r="G48" s="56"/>
      <c r="H48" s="57"/>
      <c r="I48" s="56"/>
      <c r="J48" s="56"/>
      <c r="K48" s="56"/>
      <c r="L48" s="56"/>
      <c r="M48" s="56"/>
      <c r="N48" s="55">
        <f t="shared" si="12"/>
        <v>30000</v>
      </c>
      <c r="O48" s="51">
        <f t="shared" si="3"/>
        <v>30000</v>
      </c>
    </row>
    <row r="49" spans="1:15" s="8" customFormat="1" ht="21.75" customHeight="1">
      <c r="A49" s="75" t="s">
        <v>190</v>
      </c>
      <c r="B49" s="144" t="s">
        <v>191</v>
      </c>
      <c r="C49" s="61">
        <f t="shared" si="9"/>
        <v>13600</v>
      </c>
      <c r="D49" s="56">
        <v>13600</v>
      </c>
      <c r="E49" s="56">
        <v>10000</v>
      </c>
      <c r="F49" s="56"/>
      <c r="G49" s="56"/>
      <c r="H49" s="57"/>
      <c r="I49" s="56"/>
      <c r="J49" s="56"/>
      <c r="K49" s="56"/>
      <c r="L49" s="56"/>
      <c r="M49" s="56"/>
      <c r="N49" s="55">
        <f t="shared" si="12"/>
        <v>13600</v>
      </c>
      <c r="O49" s="51">
        <f t="shared" si="3"/>
        <v>13600</v>
      </c>
    </row>
    <row r="50" spans="1:15" s="8" customFormat="1" ht="18" customHeight="1">
      <c r="A50" s="75" t="s">
        <v>181</v>
      </c>
      <c r="B50" s="144" t="s">
        <v>182</v>
      </c>
      <c r="C50" s="61">
        <f t="shared" si="9"/>
        <v>58200</v>
      </c>
      <c r="D50" s="56">
        <f aca="true" t="shared" si="13" ref="D50:M50">D51+D52+D53+D54+D55</f>
        <v>58200</v>
      </c>
      <c r="E50" s="56">
        <f t="shared" si="13"/>
        <v>6000</v>
      </c>
      <c r="F50" s="56">
        <f t="shared" si="13"/>
        <v>50000</v>
      </c>
      <c r="G50" s="56">
        <f t="shared" si="13"/>
        <v>0</v>
      </c>
      <c r="H50" s="56">
        <f t="shared" si="13"/>
        <v>0</v>
      </c>
      <c r="I50" s="56">
        <f t="shared" si="13"/>
        <v>0</v>
      </c>
      <c r="J50" s="56">
        <f t="shared" si="13"/>
        <v>0</v>
      </c>
      <c r="K50" s="56">
        <f t="shared" si="13"/>
        <v>0</v>
      </c>
      <c r="L50" s="56">
        <f t="shared" si="13"/>
        <v>0</v>
      </c>
      <c r="M50" s="56">
        <f t="shared" si="13"/>
        <v>0</v>
      </c>
      <c r="N50" s="55">
        <f t="shared" si="12"/>
        <v>58200</v>
      </c>
      <c r="O50" s="51">
        <f t="shared" si="3"/>
        <v>58200</v>
      </c>
    </row>
    <row r="51" spans="1:15" s="8" customFormat="1" ht="30">
      <c r="A51" s="75"/>
      <c r="B51" s="144" t="s">
        <v>183</v>
      </c>
      <c r="C51" s="61">
        <f t="shared" si="9"/>
        <v>9000</v>
      </c>
      <c r="D51" s="56">
        <v>9000</v>
      </c>
      <c r="E51" s="56"/>
      <c r="F51" s="56">
        <v>9000</v>
      </c>
      <c r="G51" s="56"/>
      <c r="H51" s="57"/>
      <c r="I51" s="56"/>
      <c r="J51" s="56"/>
      <c r="K51" s="56"/>
      <c r="L51" s="56"/>
      <c r="M51" s="56"/>
      <c r="N51" s="55">
        <f t="shared" si="12"/>
        <v>9000</v>
      </c>
      <c r="O51" s="51">
        <f t="shared" si="3"/>
        <v>9000</v>
      </c>
    </row>
    <row r="52" spans="1:15" s="8" customFormat="1" ht="30">
      <c r="A52" s="75"/>
      <c r="B52" s="144" t="s">
        <v>184</v>
      </c>
      <c r="C52" s="61">
        <f t="shared" si="9"/>
        <v>28800</v>
      </c>
      <c r="D52" s="56">
        <v>28800</v>
      </c>
      <c r="E52" s="56"/>
      <c r="F52" s="56">
        <v>28800</v>
      </c>
      <c r="G52" s="56"/>
      <c r="H52" s="57"/>
      <c r="I52" s="56"/>
      <c r="J52" s="56"/>
      <c r="K52" s="56"/>
      <c r="L52" s="56"/>
      <c r="M52" s="56"/>
      <c r="N52" s="55">
        <f t="shared" si="12"/>
        <v>28800</v>
      </c>
      <c r="O52" s="51">
        <f t="shared" si="3"/>
        <v>28800</v>
      </c>
    </row>
    <row r="53" spans="1:15" s="8" customFormat="1" ht="45">
      <c r="A53" s="75"/>
      <c r="B53" s="144" t="s">
        <v>185</v>
      </c>
      <c r="C53" s="61">
        <f t="shared" si="9"/>
        <v>6100</v>
      </c>
      <c r="D53" s="56">
        <v>6100</v>
      </c>
      <c r="E53" s="56">
        <v>3000</v>
      </c>
      <c r="F53" s="56">
        <v>2000</v>
      </c>
      <c r="G53" s="56"/>
      <c r="H53" s="57"/>
      <c r="I53" s="56"/>
      <c r="J53" s="56"/>
      <c r="K53" s="56"/>
      <c r="L53" s="56"/>
      <c r="M53" s="56"/>
      <c r="N53" s="55">
        <f t="shared" si="12"/>
        <v>6100</v>
      </c>
      <c r="O53" s="51">
        <f t="shared" si="3"/>
        <v>6100</v>
      </c>
    </row>
    <row r="54" spans="1:15" s="8" customFormat="1" ht="16.5">
      <c r="A54" s="75"/>
      <c r="B54" s="144" t="s">
        <v>186</v>
      </c>
      <c r="C54" s="61">
        <f t="shared" si="9"/>
        <v>7200</v>
      </c>
      <c r="D54" s="56">
        <v>7200</v>
      </c>
      <c r="E54" s="56"/>
      <c r="F54" s="56">
        <v>7200</v>
      </c>
      <c r="G54" s="56"/>
      <c r="H54" s="57"/>
      <c r="I54" s="56"/>
      <c r="J54" s="56"/>
      <c r="K54" s="56"/>
      <c r="L54" s="56"/>
      <c r="M54" s="56"/>
      <c r="N54" s="55">
        <f t="shared" si="12"/>
        <v>7200</v>
      </c>
      <c r="O54" s="51">
        <f t="shared" si="3"/>
        <v>7200</v>
      </c>
    </row>
    <row r="55" spans="1:15" s="8" customFormat="1" ht="30">
      <c r="A55" s="75"/>
      <c r="B55" s="144" t="s">
        <v>187</v>
      </c>
      <c r="C55" s="61">
        <f t="shared" si="9"/>
        <v>7100</v>
      </c>
      <c r="D55" s="56">
        <v>7100</v>
      </c>
      <c r="E55" s="56">
        <v>3000</v>
      </c>
      <c r="F55" s="56">
        <v>3000</v>
      </c>
      <c r="G55" s="56"/>
      <c r="H55" s="57"/>
      <c r="I55" s="56"/>
      <c r="J55" s="56"/>
      <c r="K55" s="56"/>
      <c r="L55" s="56"/>
      <c r="M55" s="56"/>
      <c r="N55" s="55">
        <f t="shared" si="12"/>
        <v>7100</v>
      </c>
      <c r="O55" s="51">
        <f t="shared" si="3"/>
        <v>7100</v>
      </c>
    </row>
    <row r="56" spans="1:15" s="8" customFormat="1" ht="45">
      <c r="A56" s="75" t="s">
        <v>188</v>
      </c>
      <c r="B56" s="144" t="s">
        <v>189</v>
      </c>
      <c r="C56" s="61">
        <f t="shared" si="9"/>
        <v>1700</v>
      </c>
      <c r="D56" s="56">
        <v>1700</v>
      </c>
      <c r="E56" s="56"/>
      <c r="F56" s="56">
        <v>1700</v>
      </c>
      <c r="G56" s="56"/>
      <c r="H56" s="57"/>
      <c r="I56" s="56"/>
      <c r="J56" s="56"/>
      <c r="K56" s="56"/>
      <c r="L56" s="56"/>
      <c r="M56" s="56"/>
      <c r="N56" s="55">
        <f t="shared" si="12"/>
        <v>1700</v>
      </c>
      <c r="O56" s="51">
        <f t="shared" si="3"/>
        <v>1700</v>
      </c>
    </row>
    <row r="57" spans="1:15" s="8" customFormat="1" ht="45">
      <c r="A57" s="75" t="s">
        <v>116</v>
      </c>
      <c r="B57" s="144" t="s">
        <v>117</v>
      </c>
      <c r="C57" s="61">
        <f t="shared" si="9"/>
        <v>400000</v>
      </c>
      <c r="D57" s="56">
        <v>400000</v>
      </c>
      <c r="E57" s="56"/>
      <c r="F57" s="56"/>
      <c r="G57" s="56"/>
      <c r="H57" s="57"/>
      <c r="I57" s="56"/>
      <c r="J57" s="56"/>
      <c r="K57" s="56"/>
      <c r="L57" s="56"/>
      <c r="M57" s="56"/>
      <c r="N57" s="55">
        <f t="shared" si="12"/>
        <v>400000</v>
      </c>
      <c r="O57" s="51">
        <f t="shared" si="3"/>
        <v>400000</v>
      </c>
    </row>
    <row r="58" spans="1:15" ht="47.25">
      <c r="A58" s="92" t="s">
        <v>18</v>
      </c>
      <c r="B58" s="94" t="s">
        <v>31</v>
      </c>
      <c r="C58" s="68">
        <f t="shared" si="0"/>
        <v>1179500</v>
      </c>
      <c r="D58" s="64">
        <f>D63+D59+D62+D64+D65</f>
        <v>714600</v>
      </c>
      <c r="E58" s="64">
        <f aca="true" t="shared" si="14" ref="E58:M58">E63+E59+E62+E64+E65</f>
        <v>73000</v>
      </c>
      <c r="F58" s="64">
        <f t="shared" si="14"/>
        <v>465700</v>
      </c>
      <c r="G58" s="64">
        <f t="shared" si="14"/>
        <v>464900</v>
      </c>
      <c r="H58" s="64">
        <f t="shared" si="14"/>
        <v>0</v>
      </c>
      <c r="I58" s="64">
        <f t="shared" si="14"/>
        <v>0</v>
      </c>
      <c r="J58" s="64">
        <f t="shared" si="14"/>
        <v>0</v>
      </c>
      <c r="K58" s="64">
        <f t="shared" si="14"/>
        <v>0</v>
      </c>
      <c r="L58" s="64">
        <f t="shared" si="14"/>
        <v>0</v>
      </c>
      <c r="M58" s="64">
        <f t="shared" si="14"/>
        <v>0</v>
      </c>
      <c r="N58" s="68">
        <f t="shared" si="2"/>
        <v>1179500</v>
      </c>
      <c r="O58" s="51">
        <f t="shared" si="3"/>
        <v>1179500</v>
      </c>
    </row>
    <row r="59" spans="1:15" ht="30">
      <c r="A59" s="75" t="s">
        <v>63</v>
      </c>
      <c r="B59" s="127" t="s">
        <v>64</v>
      </c>
      <c r="C59" s="95">
        <f t="shared" si="0"/>
        <v>220000</v>
      </c>
      <c r="D59" s="60">
        <f>D60</f>
        <v>220000</v>
      </c>
      <c r="E59" s="60">
        <f aca="true" t="shared" si="15" ref="E59:M59">E60</f>
        <v>0</v>
      </c>
      <c r="F59" s="60">
        <f t="shared" si="15"/>
        <v>0</v>
      </c>
      <c r="G59" s="60">
        <f t="shared" si="15"/>
        <v>0</v>
      </c>
      <c r="H59" s="60">
        <f t="shared" si="15"/>
        <v>0</v>
      </c>
      <c r="I59" s="60">
        <f t="shared" si="15"/>
        <v>0</v>
      </c>
      <c r="J59" s="60">
        <f t="shared" si="15"/>
        <v>0</v>
      </c>
      <c r="K59" s="60">
        <f t="shared" si="15"/>
        <v>0</v>
      </c>
      <c r="L59" s="60">
        <f t="shared" si="15"/>
        <v>0</v>
      </c>
      <c r="M59" s="60">
        <f t="shared" si="15"/>
        <v>0</v>
      </c>
      <c r="N59" s="57">
        <f t="shared" si="2"/>
        <v>220000</v>
      </c>
      <c r="O59" s="51">
        <f t="shared" si="3"/>
        <v>220000</v>
      </c>
    </row>
    <row r="60" spans="1:15" ht="16.5">
      <c r="A60" s="75"/>
      <c r="B60" s="127" t="s">
        <v>220</v>
      </c>
      <c r="C60" s="95">
        <f t="shared" si="0"/>
        <v>220000</v>
      </c>
      <c r="D60" s="60">
        <v>220000</v>
      </c>
      <c r="E60" s="56"/>
      <c r="F60" s="56"/>
      <c r="G60" s="61"/>
      <c r="H60" s="56"/>
      <c r="I60" s="56"/>
      <c r="J60" s="56"/>
      <c r="K60" s="56"/>
      <c r="L60" s="56"/>
      <c r="M60" s="56"/>
      <c r="N60" s="57">
        <f t="shared" si="2"/>
        <v>220000</v>
      </c>
      <c r="O60" s="51">
        <f t="shared" si="3"/>
        <v>220000</v>
      </c>
    </row>
    <row r="61" spans="1:15" ht="30">
      <c r="A61" s="75"/>
      <c r="B61" s="127" t="s">
        <v>221</v>
      </c>
      <c r="C61" s="95">
        <f t="shared" si="0"/>
        <v>20000</v>
      </c>
      <c r="D61" s="60">
        <v>20000</v>
      </c>
      <c r="E61" s="56"/>
      <c r="F61" s="56"/>
      <c r="G61" s="61"/>
      <c r="H61" s="56"/>
      <c r="I61" s="56"/>
      <c r="J61" s="56"/>
      <c r="K61" s="56"/>
      <c r="L61" s="56"/>
      <c r="M61" s="56"/>
      <c r="N61" s="57">
        <f t="shared" si="2"/>
        <v>20000</v>
      </c>
      <c r="O61" s="51">
        <f t="shared" si="3"/>
        <v>20000</v>
      </c>
    </row>
    <row r="62" spans="1:15" ht="30">
      <c r="A62" s="75" t="s">
        <v>204</v>
      </c>
      <c r="B62" s="127" t="s">
        <v>205</v>
      </c>
      <c r="C62" s="95">
        <f t="shared" si="0"/>
        <v>26000</v>
      </c>
      <c r="D62" s="60">
        <f>21000+5000</f>
        <v>26000</v>
      </c>
      <c r="E62" s="56"/>
      <c r="F62" s="56">
        <f>21000+5000</f>
        <v>26000</v>
      </c>
      <c r="G62" s="61"/>
      <c r="H62" s="56"/>
      <c r="I62" s="56"/>
      <c r="J62" s="56"/>
      <c r="K62" s="56"/>
      <c r="L62" s="56"/>
      <c r="M62" s="56"/>
      <c r="N62" s="57">
        <f t="shared" si="2"/>
        <v>26000</v>
      </c>
      <c r="O62" s="51">
        <f t="shared" si="3"/>
        <v>26000</v>
      </c>
    </row>
    <row r="63" spans="1:15" ht="45">
      <c r="A63" s="75" t="s">
        <v>38</v>
      </c>
      <c r="B63" s="98" t="s">
        <v>39</v>
      </c>
      <c r="C63" s="95">
        <f t="shared" si="0"/>
        <v>777800</v>
      </c>
      <c r="D63" s="59">
        <f>-90100+40400+379000+3300+18000</f>
        <v>350600</v>
      </c>
      <c r="E63" s="59"/>
      <c r="F63" s="59">
        <f>40400+379000+3300</f>
        <v>422700</v>
      </c>
      <c r="G63" s="59">
        <f>280000+49700+97500</f>
        <v>427200</v>
      </c>
      <c r="H63" s="57"/>
      <c r="I63" s="59"/>
      <c r="J63" s="59"/>
      <c r="K63" s="59"/>
      <c r="L63" s="59"/>
      <c r="M63" s="59"/>
      <c r="N63" s="57">
        <f t="shared" si="2"/>
        <v>777800</v>
      </c>
      <c r="O63" s="51">
        <f t="shared" si="3"/>
        <v>777800</v>
      </c>
    </row>
    <row r="64" spans="1:15" ht="30">
      <c r="A64" s="75" t="s">
        <v>206</v>
      </c>
      <c r="B64" s="149" t="s">
        <v>207</v>
      </c>
      <c r="C64" s="95">
        <f t="shared" si="0"/>
        <v>97000</v>
      </c>
      <c r="D64" s="59">
        <f>95000+2000</f>
        <v>97000</v>
      </c>
      <c r="E64" s="59">
        <v>73000</v>
      </c>
      <c r="F64" s="59">
        <v>2000</v>
      </c>
      <c r="G64" s="59"/>
      <c r="H64" s="57"/>
      <c r="I64" s="59"/>
      <c r="J64" s="59"/>
      <c r="K64" s="59"/>
      <c r="L64" s="59"/>
      <c r="M64" s="59"/>
      <c r="N64" s="57">
        <f t="shared" si="2"/>
        <v>97000</v>
      </c>
      <c r="O64" s="51">
        <f t="shared" si="3"/>
        <v>97000</v>
      </c>
    </row>
    <row r="65" spans="1:15" ht="24" customHeight="1">
      <c r="A65" s="75" t="s">
        <v>208</v>
      </c>
      <c r="B65" s="150" t="s">
        <v>209</v>
      </c>
      <c r="C65" s="95">
        <f t="shared" si="0"/>
        <v>58700</v>
      </c>
      <c r="D65" s="59">
        <f>10000+5000+6000</f>
        <v>21000</v>
      </c>
      <c r="E65" s="59"/>
      <c r="F65" s="59">
        <f>10000+5000</f>
        <v>15000</v>
      </c>
      <c r="G65" s="59">
        <v>37700</v>
      </c>
      <c r="H65" s="57"/>
      <c r="I65" s="59"/>
      <c r="J65" s="59"/>
      <c r="K65" s="59"/>
      <c r="L65" s="59"/>
      <c r="M65" s="59"/>
      <c r="N65" s="57">
        <f t="shared" si="2"/>
        <v>58700</v>
      </c>
      <c r="O65" s="51">
        <f t="shared" si="3"/>
        <v>58700</v>
      </c>
    </row>
    <row r="66" spans="1:15" ht="31.5">
      <c r="A66" s="96" t="s">
        <v>19</v>
      </c>
      <c r="B66" s="93" t="s">
        <v>22</v>
      </c>
      <c r="C66" s="68">
        <f>D66+G66</f>
        <v>242144</v>
      </c>
      <c r="D66" s="68">
        <f>D67+D68+D69+D72+D74</f>
        <v>242144</v>
      </c>
      <c r="E66" s="68">
        <f aca="true" t="shared" si="16" ref="E66:M66">E67+E68+E69+E72+E74</f>
        <v>5300</v>
      </c>
      <c r="F66" s="68">
        <f t="shared" si="16"/>
        <v>5000</v>
      </c>
      <c r="G66" s="68">
        <f t="shared" si="16"/>
        <v>0</v>
      </c>
      <c r="H66" s="68">
        <f t="shared" si="16"/>
        <v>0</v>
      </c>
      <c r="I66" s="68">
        <f t="shared" si="16"/>
        <v>0</v>
      </c>
      <c r="J66" s="68">
        <f t="shared" si="16"/>
        <v>0</v>
      </c>
      <c r="K66" s="68">
        <f t="shared" si="16"/>
        <v>0</v>
      </c>
      <c r="L66" s="68">
        <f t="shared" si="16"/>
        <v>0</v>
      </c>
      <c r="M66" s="68">
        <f t="shared" si="16"/>
        <v>0</v>
      </c>
      <c r="N66" s="68">
        <f>C66+H66</f>
        <v>242144</v>
      </c>
      <c r="O66" s="51">
        <f t="shared" si="3"/>
        <v>242144</v>
      </c>
    </row>
    <row r="67" spans="1:15" ht="30">
      <c r="A67" s="75" t="s">
        <v>129</v>
      </c>
      <c r="B67" s="76" t="s">
        <v>130</v>
      </c>
      <c r="C67" s="55">
        <f>D67+G67</f>
        <v>2700</v>
      </c>
      <c r="D67" s="60">
        <v>2700</v>
      </c>
      <c r="E67" s="60">
        <v>2700</v>
      </c>
      <c r="F67" s="55"/>
      <c r="G67" s="55"/>
      <c r="H67" s="55"/>
      <c r="I67" s="55"/>
      <c r="J67" s="55"/>
      <c r="K67" s="55"/>
      <c r="L67" s="55"/>
      <c r="M67" s="55"/>
      <c r="N67" s="57">
        <f>C67+H67</f>
        <v>2700</v>
      </c>
      <c r="O67" s="51">
        <f t="shared" si="3"/>
        <v>2700</v>
      </c>
    </row>
    <row r="68" spans="1:15" ht="30">
      <c r="A68" s="132" t="s">
        <v>102</v>
      </c>
      <c r="B68" s="76" t="s">
        <v>103</v>
      </c>
      <c r="C68" s="95">
        <f t="shared" si="0"/>
        <v>200000</v>
      </c>
      <c r="D68" s="60">
        <v>200000</v>
      </c>
      <c r="E68" s="55"/>
      <c r="F68" s="55"/>
      <c r="G68" s="55"/>
      <c r="H68" s="55"/>
      <c r="I68" s="55"/>
      <c r="J68" s="55"/>
      <c r="K68" s="55"/>
      <c r="L68" s="55"/>
      <c r="M68" s="55"/>
      <c r="N68" s="57">
        <f aca="true" t="shared" si="17" ref="N68:N74">C68+H68</f>
        <v>200000</v>
      </c>
      <c r="O68" s="51">
        <f t="shared" si="3"/>
        <v>200000</v>
      </c>
    </row>
    <row r="69" spans="1:15" ht="16.5">
      <c r="A69" s="75" t="s">
        <v>127</v>
      </c>
      <c r="B69" s="76" t="s">
        <v>128</v>
      </c>
      <c r="C69" s="95">
        <f t="shared" si="0"/>
        <v>9300</v>
      </c>
      <c r="D69" s="60">
        <f>D70+D71</f>
        <v>9300</v>
      </c>
      <c r="E69" s="60">
        <f aca="true" t="shared" si="18" ref="E69:M69">E70+E71</f>
        <v>2600</v>
      </c>
      <c r="F69" s="60">
        <f t="shared" si="18"/>
        <v>5000</v>
      </c>
      <c r="G69" s="60">
        <f t="shared" si="18"/>
        <v>0</v>
      </c>
      <c r="H69" s="60">
        <f t="shared" si="18"/>
        <v>0</v>
      </c>
      <c r="I69" s="60">
        <f t="shared" si="18"/>
        <v>0</v>
      </c>
      <c r="J69" s="60">
        <f t="shared" si="18"/>
        <v>0</v>
      </c>
      <c r="K69" s="60">
        <f t="shared" si="18"/>
        <v>0</v>
      </c>
      <c r="L69" s="60">
        <f t="shared" si="18"/>
        <v>0</v>
      </c>
      <c r="M69" s="60">
        <f t="shared" si="18"/>
        <v>0</v>
      </c>
      <c r="N69" s="57">
        <f t="shared" si="17"/>
        <v>9300</v>
      </c>
      <c r="O69" s="51">
        <f t="shared" si="3"/>
        <v>9300</v>
      </c>
    </row>
    <row r="70" spans="1:15" ht="75">
      <c r="A70" s="75" t="s">
        <v>30</v>
      </c>
      <c r="B70" s="76" t="s">
        <v>210</v>
      </c>
      <c r="C70" s="95">
        <f t="shared" si="0"/>
        <v>2800</v>
      </c>
      <c r="D70" s="60">
        <v>2800</v>
      </c>
      <c r="E70" s="60">
        <v>1000</v>
      </c>
      <c r="F70" s="60">
        <v>1000</v>
      </c>
      <c r="G70" s="55"/>
      <c r="H70" s="55"/>
      <c r="I70" s="55"/>
      <c r="J70" s="55"/>
      <c r="K70" s="55"/>
      <c r="L70" s="55"/>
      <c r="M70" s="55"/>
      <c r="N70" s="57">
        <f t="shared" si="17"/>
        <v>2800</v>
      </c>
      <c r="O70" s="51">
        <f t="shared" si="3"/>
        <v>2800</v>
      </c>
    </row>
    <row r="71" spans="1:15" ht="30">
      <c r="A71" s="75"/>
      <c r="B71" s="76" t="s">
        <v>211</v>
      </c>
      <c r="C71" s="95">
        <f t="shared" si="0"/>
        <v>6500</v>
      </c>
      <c r="D71" s="60">
        <v>6500</v>
      </c>
      <c r="E71" s="60">
        <v>1600</v>
      </c>
      <c r="F71" s="60">
        <v>4000</v>
      </c>
      <c r="G71" s="55"/>
      <c r="H71" s="55"/>
      <c r="I71" s="55"/>
      <c r="J71" s="55"/>
      <c r="K71" s="55"/>
      <c r="L71" s="55"/>
      <c r="M71" s="55"/>
      <c r="N71" s="57">
        <f t="shared" si="17"/>
        <v>6500</v>
      </c>
      <c r="O71" s="51">
        <f t="shared" si="3"/>
        <v>6500</v>
      </c>
    </row>
    <row r="72" spans="1:15" ht="91.5" customHeight="1">
      <c r="A72" s="75" t="s">
        <v>42</v>
      </c>
      <c r="B72" s="76" t="s">
        <v>43</v>
      </c>
      <c r="C72" s="95">
        <f t="shared" si="0"/>
        <v>18144</v>
      </c>
      <c r="D72" s="59">
        <f>D73</f>
        <v>18144</v>
      </c>
      <c r="E72" s="59"/>
      <c r="F72" s="59"/>
      <c r="G72" s="59"/>
      <c r="H72" s="57"/>
      <c r="I72" s="59"/>
      <c r="J72" s="59"/>
      <c r="K72" s="59"/>
      <c r="L72" s="59"/>
      <c r="M72" s="59"/>
      <c r="N72" s="57">
        <f t="shared" si="17"/>
        <v>18144</v>
      </c>
      <c r="O72" s="51">
        <f t="shared" si="3"/>
        <v>18144</v>
      </c>
    </row>
    <row r="73" spans="1:15" ht="49.5" customHeight="1">
      <c r="A73" s="75" t="s">
        <v>30</v>
      </c>
      <c r="B73" s="76" t="s">
        <v>104</v>
      </c>
      <c r="C73" s="95">
        <f t="shared" si="0"/>
        <v>18144</v>
      </c>
      <c r="D73" s="59">
        <v>18144</v>
      </c>
      <c r="E73" s="59"/>
      <c r="F73" s="59"/>
      <c r="G73" s="59"/>
      <c r="H73" s="57"/>
      <c r="I73" s="59"/>
      <c r="J73" s="59"/>
      <c r="K73" s="59"/>
      <c r="L73" s="59"/>
      <c r="M73" s="59"/>
      <c r="N73" s="57">
        <f t="shared" si="17"/>
        <v>18144</v>
      </c>
      <c r="O73" s="51">
        <f t="shared" si="3"/>
        <v>18144</v>
      </c>
    </row>
    <row r="74" spans="1:15" ht="78" customHeight="1">
      <c r="A74" s="80" t="s">
        <v>147</v>
      </c>
      <c r="B74" s="76" t="s">
        <v>148</v>
      </c>
      <c r="C74" s="95">
        <f t="shared" si="0"/>
        <v>12000</v>
      </c>
      <c r="D74" s="59">
        <v>12000</v>
      </c>
      <c r="E74" s="59"/>
      <c r="F74" s="59"/>
      <c r="G74" s="59"/>
      <c r="H74" s="57"/>
      <c r="I74" s="59"/>
      <c r="J74" s="59"/>
      <c r="K74" s="59"/>
      <c r="L74" s="59"/>
      <c r="M74" s="59"/>
      <c r="N74" s="57">
        <f t="shared" si="17"/>
        <v>12000</v>
      </c>
      <c r="O74" s="51">
        <f t="shared" si="3"/>
        <v>12000</v>
      </c>
    </row>
    <row r="75" spans="1:15" ht="32.25" customHeight="1">
      <c r="A75" s="92" t="s">
        <v>143</v>
      </c>
      <c r="B75" s="93" t="s">
        <v>144</v>
      </c>
      <c r="C75" s="68">
        <f t="shared" si="0"/>
        <v>0</v>
      </c>
      <c r="D75" s="133">
        <f>D76</f>
        <v>0</v>
      </c>
      <c r="E75" s="133">
        <f aca="true" t="shared" si="19" ref="E75:M75">E76</f>
        <v>0</v>
      </c>
      <c r="F75" s="64">
        <f t="shared" si="19"/>
        <v>7000</v>
      </c>
      <c r="G75" s="133">
        <f t="shared" si="19"/>
        <v>0</v>
      </c>
      <c r="H75" s="133">
        <f t="shared" si="19"/>
        <v>0</v>
      </c>
      <c r="I75" s="133">
        <f t="shared" si="19"/>
        <v>0</v>
      </c>
      <c r="J75" s="133">
        <f t="shared" si="19"/>
        <v>0</v>
      </c>
      <c r="K75" s="133">
        <f t="shared" si="19"/>
        <v>0</v>
      </c>
      <c r="L75" s="133">
        <f t="shared" si="19"/>
        <v>0</v>
      </c>
      <c r="M75" s="133">
        <f t="shared" si="19"/>
        <v>0</v>
      </c>
      <c r="N75" s="68">
        <f aca="true" t="shared" si="20" ref="N75:N81">C75+H75</f>
        <v>0</v>
      </c>
      <c r="O75" s="51">
        <f aca="true" t="shared" si="21" ref="O75:O119">C75+H75</f>
        <v>0</v>
      </c>
    </row>
    <row r="76" spans="1:15" ht="18.75" customHeight="1">
      <c r="A76" s="75" t="s">
        <v>145</v>
      </c>
      <c r="B76" s="145" t="s">
        <v>146</v>
      </c>
      <c r="C76" s="95">
        <f t="shared" si="0"/>
        <v>0</v>
      </c>
      <c r="D76" s="59"/>
      <c r="E76" s="59"/>
      <c r="F76" s="59">
        <v>7000</v>
      </c>
      <c r="G76" s="59"/>
      <c r="H76" s="57"/>
      <c r="I76" s="59"/>
      <c r="J76" s="59"/>
      <c r="K76" s="59"/>
      <c r="L76" s="59"/>
      <c r="M76" s="59"/>
      <c r="N76" s="57">
        <f t="shared" si="20"/>
        <v>0</v>
      </c>
      <c r="O76" s="51">
        <f t="shared" si="21"/>
        <v>0</v>
      </c>
    </row>
    <row r="77" spans="1:15" ht="66" customHeight="1">
      <c r="A77" s="90" t="s">
        <v>72</v>
      </c>
      <c r="B77" s="93" t="s">
        <v>73</v>
      </c>
      <c r="C77" s="68">
        <f t="shared" si="0"/>
        <v>188000</v>
      </c>
      <c r="D77" s="64">
        <f>D78+D80</f>
        <v>188000</v>
      </c>
      <c r="E77" s="64">
        <f aca="true" t="shared" si="22" ref="E77:M77">E78+E80</f>
        <v>0</v>
      </c>
      <c r="F77" s="64">
        <f t="shared" si="22"/>
        <v>0</v>
      </c>
      <c r="G77" s="64">
        <f t="shared" si="22"/>
        <v>0</v>
      </c>
      <c r="H77" s="64">
        <f t="shared" si="22"/>
        <v>0</v>
      </c>
      <c r="I77" s="64">
        <f t="shared" si="22"/>
        <v>0</v>
      </c>
      <c r="J77" s="64">
        <f t="shared" si="22"/>
        <v>0</v>
      </c>
      <c r="K77" s="64">
        <f t="shared" si="22"/>
        <v>0</v>
      </c>
      <c r="L77" s="64">
        <f t="shared" si="22"/>
        <v>0</v>
      </c>
      <c r="M77" s="64">
        <f t="shared" si="22"/>
        <v>0</v>
      </c>
      <c r="N77" s="68">
        <f t="shared" si="20"/>
        <v>188000</v>
      </c>
      <c r="O77" s="51">
        <f t="shared" si="21"/>
        <v>188000</v>
      </c>
    </row>
    <row r="78" spans="1:15" ht="31.5" customHeight="1">
      <c r="A78" s="75" t="s">
        <v>69</v>
      </c>
      <c r="B78" s="136" t="s">
        <v>70</v>
      </c>
      <c r="C78" s="95">
        <f t="shared" si="0"/>
        <v>98000</v>
      </c>
      <c r="D78" s="59">
        <f>D79</f>
        <v>98000</v>
      </c>
      <c r="E78" s="59"/>
      <c r="F78" s="59"/>
      <c r="G78" s="59"/>
      <c r="H78" s="57"/>
      <c r="I78" s="59"/>
      <c r="J78" s="59"/>
      <c r="K78" s="59"/>
      <c r="L78" s="59"/>
      <c r="M78" s="59"/>
      <c r="N78" s="57">
        <f t="shared" si="20"/>
        <v>98000</v>
      </c>
      <c r="O78" s="51">
        <f t="shared" si="21"/>
        <v>98000</v>
      </c>
    </row>
    <row r="79" spans="1:15" ht="106.5" customHeight="1">
      <c r="A79" s="131" t="s">
        <v>30</v>
      </c>
      <c r="B79" s="145" t="s">
        <v>77</v>
      </c>
      <c r="C79" s="95">
        <f t="shared" si="0"/>
        <v>98000</v>
      </c>
      <c r="D79" s="59">
        <v>98000</v>
      </c>
      <c r="E79" s="59"/>
      <c r="F79" s="59"/>
      <c r="G79" s="59"/>
      <c r="H79" s="57"/>
      <c r="I79" s="59"/>
      <c r="J79" s="59"/>
      <c r="K79" s="59"/>
      <c r="L79" s="59"/>
      <c r="M79" s="59"/>
      <c r="N79" s="57">
        <f t="shared" si="20"/>
        <v>98000</v>
      </c>
      <c r="O79" s="51">
        <f t="shared" si="21"/>
        <v>98000</v>
      </c>
    </row>
    <row r="80" spans="1:15" ht="30.75" customHeight="1">
      <c r="A80" s="75" t="s">
        <v>74</v>
      </c>
      <c r="B80" s="146" t="s">
        <v>75</v>
      </c>
      <c r="C80" s="95">
        <f t="shared" si="0"/>
        <v>90000</v>
      </c>
      <c r="D80" s="59">
        <f>D81</f>
        <v>90000</v>
      </c>
      <c r="E80" s="59"/>
      <c r="F80" s="59"/>
      <c r="G80" s="59"/>
      <c r="H80" s="57"/>
      <c r="I80" s="59"/>
      <c r="J80" s="59"/>
      <c r="K80" s="59"/>
      <c r="L80" s="59"/>
      <c r="M80" s="59"/>
      <c r="N80" s="57">
        <f t="shared" si="20"/>
        <v>90000</v>
      </c>
      <c r="O80" s="51">
        <f t="shared" si="21"/>
        <v>90000</v>
      </c>
    </row>
    <row r="81" spans="1:15" ht="48.75" customHeight="1">
      <c r="A81" s="75" t="s">
        <v>30</v>
      </c>
      <c r="B81" s="145" t="s">
        <v>76</v>
      </c>
      <c r="C81" s="95">
        <f t="shared" si="0"/>
        <v>90000</v>
      </c>
      <c r="D81" s="59">
        <v>90000</v>
      </c>
      <c r="E81" s="59"/>
      <c r="F81" s="59"/>
      <c r="G81" s="59"/>
      <c r="H81" s="57"/>
      <c r="I81" s="59"/>
      <c r="J81" s="59"/>
      <c r="K81" s="59"/>
      <c r="L81" s="59"/>
      <c r="M81" s="59"/>
      <c r="N81" s="57">
        <f t="shared" si="20"/>
        <v>90000</v>
      </c>
      <c r="O81" s="51">
        <f t="shared" si="21"/>
        <v>90000</v>
      </c>
    </row>
    <row r="82" spans="1:15" ht="30.75" customHeight="1">
      <c r="A82" s="92" t="s">
        <v>88</v>
      </c>
      <c r="B82" s="93" t="s">
        <v>89</v>
      </c>
      <c r="C82" s="68">
        <f>D82+G82</f>
        <v>951600</v>
      </c>
      <c r="D82" s="64">
        <f>D83+D84+D85+D86+D87+D88+D89+D90</f>
        <v>802000</v>
      </c>
      <c r="E82" s="64">
        <f>E83+E84+E85+E86+E87+E88+E89+E90</f>
        <v>0</v>
      </c>
      <c r="F82" s="64">
        <f>F83+F84+F85+F86+F87+F88+F89+F90</f>
        <v>167500</v>
      </c>
      <c r="G82" s="64">
        <f>G83+G84+G85+G86+G87+G88+G89+G90</f>
        <v>149600</v>
      </c>
      <c r="H82" s="64">
        <f>H83+H84+H85+H86+H87+H88+H89+H90</f>
        <v>0</v>
      </c>
      <c r="I82" s="64">
        <f>I85+I89+I90</f>
        <v>0</v>
      </c>
      <c r="J82" s="64">
        <f>J85+J89+J90</f>
        <v>0</v>
      </c>
      <c r="K82" s="64">
        <f>K85+K89+K90</f>
        <v>0</v>
      </c>
      <c r="L82" s="64">
        <f>L85+L89+L90</f>
        <v>0</v>
      </c>
      <c r="M82" s="64">
        <f>M85+M89+M90</f>
        <v>0</v>
      </c>
      <c r="N82" s="68">
        <f>C82+H82</f>
        <v>951600</v>
      </c>
      <c r="O82" s="51">
        <f t="shared" si="21"/>
        <v>951600</v>
      </c>
    </row>
    <row r="83" spans="1:15" ht="17.25" customHeight="1">
      <c r="A83" s="75" t="s">
        <v>192</v>
      </c>
      <c r="B83" s="76" t="s">
        <v>193</v>
      </c>
      <c r="C83" s="95">
        <f t="shared" si="0"/>
        <v>93200</v>
      </c>
      <c r="D83" s="60">
        <f>65000+3000</f>
        <v>68000</v>
      </c>
      <c r="E83" s="61"/>
      <c r="F83" s="61"/>
      <c r="G83" s="60">
        <v>25200</v>
      </c>
      <c r="H83" s="61"/>
      <c r="I83" s="61"/>
      <c r="J83" s="61"/>
      <c r="K83" s="61"/>
      <c r="L83" s="61"/>
      <c r="M83" s="61"/>
      <c r="N83" s="57">
        <f aca="true" t="shared" si="23" ref="N83:N91">C83+H83</f>
        <v>93200</v>
      </c>
      <c r="O83" s="51">
        <f t="shared" si="21"/>
        <v>93200</v>
      </c>
    </row>
    <row r="84" spans="1:15" ht="35.25" customHeight="1">
      <c r="A84" s="75" t="s">
        <v>194</v>
      </c>
      <c r="B84" s="76" t="s">
        <v>195</v>
      </c>
      <c r="C84" s="95">
        <f t="shared" si="0"/>
        <v>20500</v>
      </c>
      <c r="D84" s="60">
        <v>20500</v>
      </c>
      <c r="E84" s="61"/>
      <c r="F84" s="61"/>
      <c r="G84" s="61"/>
      <c r="H84" s="61"/>
      <c r="I84" s="61"/>
      <c r="J84" s="61"/>
      <c r="K84" s="61"/>
      <c r="L84" s="61"/>
      <c r="M84" s="61"/>
      <c r="N84" s="57">
        <f t="shared" si="23"/>
        <v>20500</v>
      </c>
      <c r="O84" s="51">
        <f t="shared" si="21"/>
        <v>20500</v>
      </c>
    </row>
    <row r="85" spans="1:15" ht="17.25" customHeight="1">
      <c r="A85" s="75" t="s">
        <v>90</v>
      </c>
      <c r="B85" s="76" t="s">
        <v>91</v>
      </c>
      <c r="C85" s="95">
        <f t="shared" si="0"/>
        <v>95000</v>
      </c>
      <c r="D85" s="59">
        <v>95000</v>
      </c>
      <c r="E85" s="59"/>
      <c r="F85" s="59">
        <v>95000</v>
      </c>
      <c r="G85" s="59"/>
      <c r="H85" s="57"/>
      <c r="I85" s="59"/>
      <c r="J85" s="59"/>
      <c r="K85" s="59"/>
      <c r="L85" s="59"/>
      <c r="M85" s="59"/>
      <c r="N85" s="57">
        <f>C85+H85</f>
        <v>95000</v>
      </c>
      <c r="O85" s="51">
        <f t="shared" si="21"/>
        <v>95000</v>
      </c>
    </row>
    <row r="86" spans="1:15" ht="17.25" customHeight="1">
      <c r="A86" s="75" t="s">
        <v>196</v>
      </c>
      <c r="B86" s="76" t="s">
        <v>197</v>
      </c>
      <c r="C86" s="95">
        <f t="shared" si="0"/>
        <v>93200</v>
      </c>
      <c r="D86" s="59">
        <f>5000+3000+30000</f>
        <v>38000</v>
      </c>
      <c r="E86" s="59"/>
      <c r="F86" s="59">
        <v>5000</v>
      </c>
      <c r="G86" s="59">
        <v>55200</v>
      </c>
      <c r="H86" s="57"/>
      <c r="I86" s="59"/>
      <c r="J86" s="59"/>
      <c r="K86" s="59"/>
      <c r="L86" s="59"/>
      <c r="M86" s="59"/>
      <c r="N86" s="57">
        <f t="shared" si="23"/>
        <v>93200</v>
      </c>
      <c r="O86" s="51">
        <f t="shared" si="21"/>
        <v>93200</v>
      </c>
    </row>
    <row r="87" spans="1:15" ht="17.25" customHeight="1">
      <c r="A87" s="75" t="s">
        <v>198</v>
      </c>
      <c r="B87" s="76" t="s">
        <v>199</v>
      </c>
      <c r="C87" s="95">
        <f t="shared" si="0"/>
        <v>118200</v>
      </c>
      <c r="D87" s="59">
        <f>46000+3000</f>
        <v>49000</v>
      </c>
      <c r="E87" s="59"/>
      <c r="F87" s="59">
        <v>46000</v>
      </c>
      <c r="G87" s="59">
        <v>69200</v>
      </c>
      <c r="H87" s="57"/>
      <c r="I87" s="59"/>
      <c r="J87" s="59"/>
      <c r="K87" s="59"/>
      <c r="L87" s="59"/>
      <c r="M87" s="59"/>
      <c r="N87" s="57">
        <f t="shared" si="23"/>
        <v>118200</v>
      </c>
      <c r="O87" s="51">
        <f t="shared" si="21"/>
        <v>118200</v>
      </c>
    </row>
    <row r="88" spans="1:15" ht="17.25" customHeight="1">
      <c r="A88" s="75" t="s">
        <v>200</v>
      </c>
      <c r="B88" s="76" t="s">
        <v>201</v>
      </c>
      <c r="C88" s="95">
        <f t="shared" si="0"/>
        <v>5000</v>
      </c>
      <c r="D88" s="59">
        <v>5000</v>
      </c>
      <c r="E88" s="59"/>
      <c r="F88" s="59">
        <v>5000</v>
      </c>
      <c r="G88" s="59"/>
      <c r="H88" s="57"/>
      <c r="I88" s="59"/>
      <c r="J88" s="59"/>
      <c r="K88" s="59"/>
      <c r="L88" s="59"/>
      <c r="M88" s="59"/>
      <c r="N88" s="57">
        <f t="shared" si="23"/>
        <v>5000</v>
      </c>
      <c r="O88" s="51">
        <f t="shared" si="21"/>
        <v>5000</v>
      </c>
    </row>
    <row r="89" spans="1:15" ht="33.75" customHeight="1">
      <c r="A89" s="75" t="s">
        <v>92</v>
      </c>
      <c r="B89" s="76" t="s">
        <v>93</v>
      </c>
      <c r="C89" s="95">
        <f t="shared" si="0"/>
        <v>426500</v>
      </c>
      <c r="D89" s="59">
        <f>400000+16500+10000</f>
        <v>426500</v>
      </c>
      <c r="E89" s="59"/>
      <c r="F89" s="59">
        <v>16500</v>
      </c>
      <c r="G89" s="59"/>
      <c r="H89" s="57"/>
      <c r="I89" s="59"/>
      <c r="J89" s="59"/>
      <c r="K89" s="59"/>
      <c r="L89" s="59"/>
      <c r="M89" s="59"/>
      <c r="N89" s="57">
        <f t="shared" si="23"/>
        <v>426500</v>
      </c>
      <c r="O89" s="51">
        <f t="shared" si="21"/>
        <v>426500</v>
      </c>
    </row>
    <row r="90" spans="1:15" ht="18.75" customHeight="1">
      <c r="A90" s="75" t="s">
        <v>94</v>
      </c>
      <c r="B90" s="76" t="s">
        <v>95</v>
      </c>
      <c r="C90" s="95">
        <f t="shared" si="0"/>
        <v>100000</v>
      </c>
      <c r="D90" s="59">
        <f>D91</f>
        <v>100000</v>
      </c>
      <c r="E90" s="59"/>
      <c r="F90" s="59"/>
      <c r="G90" s="59"/>
      <c r="H90" s="57"/>
      <c r="I90" s="59"/>
      <c r="J90" s="59"/>
      <c r="K90" s="59"/>
      <c r="L90" s="59"/>
      <c r="M90" s="59"/>
      <c r="N90" s="57">
        <f t="shared" si="23"/>
        <v>100000</v>
      </c>
      <c r="O90" s="51">
        <f t="shared" si="21"/>
        <v>100000</v>
      </c>
    </row>
    <row r="91" spans="1:15" ht="77.25" customHeight="1">
      <c r="A91" s="75" t="s">
        <v>30</v>
      </c>
      <c r="B91" s="76" t="s">
        <v>131</v>
      </c>
      <c r="C91" s="95">
        <f t="shared" si="0"/>
        <v>100000</v>
      </c>
      <c r="D91" s="59">
        <v>100000</v>
      </c>
      <c r="E91" s="59"/>
      <c r="F91" s="59"/>
      <c r="G91" s="59"/>
      <c r="H91" s="57"/>
      <c r="I91" s="59"/>
      <c r="J91" s="59"/>
      <c r="K91" s="59"/>
      <c r="L91" s="59"/>
      <c r="M91" s="59"/>
      <c r="N91" s="57">
        <f t="shared" si="23"/>
        <v>100000</v>
      </c>
      <c r="O91" s="51">
        <f t="shared" si="21"/>
        <v>100000</v>
      </c>
    </row>
    <row r="92" spans="1:15" ht="48.75" customHeight="1">
      <c r="A92" s="90" t="s">
        <v>96</v>
      </c>
      <c r="B92" s="93" t="s">
        <v>97</v>
      </c>
      <c r="C92" s="68">
        <f t="shared" si="0"/>
        <v>153000</v>
      </c>
      <c r="D92" s="64">
        <f>D94+D96+D97+D98+D93+D95</f>
        <v>93000</v>
      </c>
      <c r="E92" s="64">
        <f aca="true" t="shared" si="24" ref="E92:M92">E94+E96+E97+E98+E93+E95</f>
        <v>0</v>
      </c>
      <c r="F92" s="64">
        <f t="shared" si="24"/>
        <v>3000</v>
      </c>
      <c r="G92" s="64">
        <f t="shared" si="24"/>
        <v>60000</v>
      </c>
      <c r="H92" s="64">
        <f t="shared" si="24"/>
        <v>0</v>
      </c>
      <c r="I92" s="64">
        <f t="shared" si="24"/>
        <v>0</v>
      </c>
      <c r="J92" s="64">
        <f t="shared" si="24"/>
        <v>0</v>
      </c>
      <c r="K92" s="64">
        <f t="shared" si="24"/>
        <v>0</v>
      </c>
      <c r="L92" s="64">
        <f t="shared" si="24"/>
        <v>0</v>
      </c>
      <c r="M92" s="64">
        <f t="shared" si="24"/>
        <v>0</v>
      </c>
      <c r="N92" s="68">
        <f aca="true" t="shared" si="25" ref="N92:N98">C92+H92</f>
        <v>153000</v>
      </c>
      <c r="O92" s="51">
        <f t="shared" si="21"/>
        <v>153000</v>
      </c>
    </row>
    <row r="93" spans="1:15" ht="33" customHeight="1">
      <c r="A93" s="160" t="s">
        <v>225</v>
      </c>
      <c r="B93" s="76" t="s">
        <v>226</v>
      </c>
      <c r="C93" s="161">
        <f t="shared" si="0"/>
        <v>-50890</v>
      </c>
      <c r="D93" s="60">
        <f>-45890-5000</f>
        <v>-50890</v>
      </c>
      <c r="E93" s="61"/>
      <c r="F93" s="61"/>
      <c r="G93" s="61"/>
      <c r="H93" s="55"/>
      <c r="I93" s="56"/>
      <c r="J93" s="56"/>
      <c r="K93" s="56"/>
      <c r="L93" s="56"/>
      <c r="M93" s="56"/>
      <c r="N93" s="57">
        <f t="shared" si="25"/>
        <v>-50890</v>
      </c>
      <c r="O93" s="51">
        <f t="shared" si="21"/>
        <v>-50890</v>
      </c>
    </row>
    <row r="94" spans="1:15" ht="46.5" customHeight="1">
      <c r="A94" s="75" t="s">
        <v>99</v>
      </c>
      <c r="B94" s="76" t="s">
        <v>100</v>
      </c>
      <c r="C94" s="95">
        <f t="shared" si="0"/>
        <v>46000</v>
      </c>
      <c r="D94" s="59">
        <v>46000</v>
      </c>
      <c r="E94" s="59"/>
      <c r="F94" s="59"/>
      <c r="G94" s="59"/>
      <c r="H94" s="57"/>
      <c r="I94" s="59"/>
      <c r="J94" s="59"/>
      <c r="K94" s="59"/>
      <c r="L94" s="59"/>
      <c r="M94" s="59"/>
      <c r="N94" s="57">
        <f t="shared" si="25"/>
        <v>46000</v>
      </c>
      <c r="O94" s="51">
        <f t="shared" si="21"/>
        <v>46000</v>
      </c>
    </row>
    <row r="95" spans="1:15" ht="46.5" customHeight="1">
      <c r="A95" s="160" t="s">
        <v>228</v>
      </c>
      <c r="B95" s="76" t="s">
        <v>229</v>
      </c>
      <c r="C95" s="161">
        <f t="shared" si="0"/>
        <v>24000</v>
      </c>
      <c r="D95" s="59">
        <v>24000</v>
      </c>
      <c r="E95" s="59"/>
      <c r="F95" s="59"/>
      <c r="G95" s="59"/>
      <c r="H95" s="57"/>
      <c r="I95" s="59"/>
      <c r="J95" s="59"/>
      <c r="K95" s="59"/>
      <c r="L95" s="59"/>
      <c r="M95" s="59"/>
      <c r="N95" s="57">
        <f t="shared" si="25"/>
        <v>24000</v>
      </c>
      <c r="O95" s="51"/>
    </row>
    <row r="96" spans="1:15" ht="46.5" customHeight="1">
      <c r="A96" s="75" t="s">
        <v>202</v>
      </c>
      <c r="B96" s="76" t="s">
        <v>203</v>
      </c>
      <c r="C96" s="95">
        <f t="shared" si="0"/>
        <v>1200</v>
      </c>
      <c r="D96" s="59">
        <v>1200</v>
      </c>
      <c r="E96" s="59"/>
      <c r="F96" s="59">
        <v>1200</v>
      </c>
      <c r="G96" s="59"/>
      <c r="H96" s="57"/>
      <c r="I96" s="59"/>
      <c r="J96" s="59"/>
      <c r="K96" s="59"/>
      <c r="L96" s="59"/>
      <c r="M96" s="59"/>
      <c r="N96" s="57">
        <f t="shared" si="25"/>
        <v>1200</v>
      </c>
      <c r="O96" s="51">
        <f t="shared" si="21"/>
        <v>1200</v>
      </c>
    </row>
    <row r="97" spans="1:15" ht="43.5" customHeight="1">
      <c r="A97" s="75" t="s">
        <v>86</v>
      </c>
      <c r="B97" s="76" t="s">
        <v>98</v>
      </c>
      <c r="C97" s="95">
        <f t="shared" si="0"/>
        <v>46800</v>
      </c>
      <c r="D97" s="59">
        <f>40000+1800+5000</f>
        <v>46800</v>
      </c>
      <c r="E97" s="59"/>
      <c r="F97" s="59">
        <v>1800</v>
      </c>
      <c r="G97" s="59"/>
      <c r="H97" s="57"/>
      <c r="I97" s="59"/>
      <c r="J97" s="59"/>
      <c r="K97" s="59"/>
      <c r="L97" s="59"/>
      <c r="M97" s="59"/>
      <c r="N97" s="57">
        <f t="shared" si="25"/>
        <v>46800</v>
      </c>
      <c r="O97" s="51">
        <f t="shared" si="21"/>
        <v>46800</v>
      </c>
    </row>
    <row r="98" spans="1:15" ht="80.25" customHeight="1">
      <c r="A98" s="75" t="s">
        <v>101</v>
      </c>
      <c r="B98" s="139" t="s">
        <v>105</v>
      </c>
      <c r="C98" s="95">
        <f t="shared" si="0"/>
        <v>85890</v>
      </c>
      <c r="D98" s="59">
        <f>45890-20000</f>
        <v>25890</v>
      </c>
      <c r="E98" s="59"/>
      <c r="F98" s="59"/>
      <c r="G98" s="59">
        <f>40000+20000</f>
        <v>60000</v>
      </c>
      <c r="H98" s="57"/>
      <c r="I98" s="59"/>
      <c r="J98" s="59"/>
      <c r="K98" s="59"/>
      <c r="L98" s="59"/>
      <c r="M98" s="59"/>
      <c r="N98" s="57">
        <f t="shared" si="25"/>
        <v>85890</v>
      </c>
      <c r="O98" s="51">
        <f t="shared" si="21"/>
        <v>85890</v>
      </c>
    </row>
    <row r="99" spans="1:15" ht="58.5" customHeight="1">
      <c r="A99" s="90" t="s">
        <v>80</v>
      </c>
      <c r="B99" s="91" t="s">
        <v>81</v>
      </c>
      <c r="C99" s="68">
        <f>D99+G99</f>
        <v>0</v>
      </c>
      <c r="D99" s="133"/>
      <c r="E99" s="133"/>
      <c r="F99" s="133"/>
      <c r="G99" s="133"/>
      <c r="H99" s="68">
        <f>I99+L99</f>
        <v>163000</v>
      </c>
      <c r="I99" s="133">
        <f>I100</f>
        <v>0</v>
      </c>
      <c r="J99" s="133">
        <f>J100</f>
        <v>0</v>
      </c>
      <c r="K99" s="133">
        <f>K100</f>
        <v>0</v>
      </c>
      <c r="L99" s="64">
        <f>L100</f>
        <v>163000</v>
      </c>
      <c r="M99" s="64">
        <f>M100</f>
        <v>163000</v>
      </c>
      <c r="N99" s="68">
        <f>H99+C99</f>
        <v>163000</v>
      </c>
      <c r="O99" s="51">
        <f t="shared" si="21"/>
        <v>163000</v>
      </c>
    </row>
    <row r="100" spans="1:15" ht="111" customHeight="1">
      <c r="A100" s="132" t="s">
        <v>82</v>
      </c>
      <c r="B100" s="77" t="s">
        <v>236</v>
      </c>
      <c r="C100" s="95">
        <f>D100+G100</f>
        <v>0</v>
      </c>
      <c r="D100" s="59"/>
      <c r="E100" s="59"/>
      <c r="F100" s="59"/>
      <c r="G100" s="59"/>
      <c r="H100" s="57">
        <f>I100+L100</f>
        <v>163000</v>
      </c>
      <c r="I100" s="59"/>
      <c r="J100" s="59"/>
      <c r="K100" s="59"/>
      <c r="L100" s="59">
        <v>163000</v>
      </c>
      <c r="M100" s="59">
        <v>163000</v>
      </c>
      <c r="N100" s="57">
        <f>H100+C100</f>
        <v>163000</v>
      </c>
      <c r="O100" s="51"/>
    </row>
    <row r="101" spans="1:15" s="41" customFormat="1" ht="47.25">
      <c r="A101" s="90" t="s">
        <v>20</v>
      </c>
      <c r="B101" s="97" t="s">
        <v>222</v>
      </c>
      <c r="C101" s="68">
        <f t="shared" si="0"/>
        <v>0</v>
      </c>
      <c r="D101" s="62">
        <f>D102+D103</f>
        <v>0</v>
      </c>
      <c r="E101" s="62">
        <f aca="true" t="shared" si="26" ref="E101:M101">E102+E103</f>
        <v>0</v>
      </c>
      <c r="F101" s="62">
        <f t="shared" si="26"/>
        <v>0</v>
      </c>
      <c r="G101" s="62">
        <f t="shared" si="26"/>
        <v>0</v>
      </c>
      <c r="H101" s="62">
        <f t="shared" si="26"/>
        <v>1289073</v>
      </c>
      <c r="I101" s="62">
        <f t="shared" si="26"/>
        <v>-272727</v>
      </c>
      <c r="J101" s="62">
        <f t="shared" si="26"/>
        <v>0</v>
      </c>
      <c r="K101" s="62">
        <f t="shared" si="26"/>
        <v>0</v>
      </c>
      <c r="L101" s="62">
        <f t="shared" si="26"/>
        <v>1561800</v>
      </c>
      <c r="M101" s="62">
        <f t="shared" si="26"/>
        <v>1860000</v>
      </c>
      <c r="N101" s="68">
        <f>SUM(H101,C101)</f>
        <v>1289073</v>
      </c>
      <c r="O101" s="51">
        <f t="shared" si="21"/>
        <v>1289073</v>
      </c>
    </row>
    <row r="102" spans="1:15" s="41" customFormat="1" ht="60">
      <c r="A102" s="75">
        <v>170703</v>
      </c>
      <c r="B102" s="76" t="s">
        <v>44</v>
      </c>
      <c r="C102" s="55"/>
      <c r="D102" s="60"/>
      <c r="E102" s="60"/>
      <c r="F102" s="60"/>
      <c r="G102" s="60"/>
      <c r="H102" s="61">
        <f>I102+L102</f>
        <v>-570927</v>
      </c>
      <c r="I102" s="60">
        <v>-272727</v>
      </c>
      <c r="J102" s="60"/>
      <c r="K102" s="60"/>
      <c r="L102" s="60">
        <v>-298200</v>
      </c>
      <c r="M102" s="60"/>
      <c r="N102" s="55">
        <f>SUM(H102,C102)</f>
        <v>-570927</v>
      </c>
      <c r="O102" s="51">
        <f t="shared" si="21"/>
        <v>-570927</v>
      </c>
    </row>
    <row r="103" spans="1:15" s="41" customFormat="1" ht="16.5">
      <c r="A103" s="75" t="s">
        <v>54</v>
      </c>
      <c r="B103" s="76" t="s">
        <v>55</v>
      </c>
      <c r="C103" s="56">
        <f>SUM(G103,D103)</f>
        <v>0</v>
      </c>
      <c r="D103" s="124"/>
      <c r="E103" s="124"/>
      <c r="F103" s="124"/>
      <c r="G103" s="124"/>
      <c r="H103" s="61">
        <f>I103+L103</f>
        <v>1860000</v>
      </c>
      <c r="I103" s="124"/>
      <c r="J103" s="124"/>
      <c r="K103" s="124"/>
      <c r="L103" s="60">
        <v>1860000</v>
      </c>
      <c r="M103" s="60">
        <v>1860000</v>
      </c>
      <c r="N103" s="55">
        <f>SUM(H103,C103)</f>
        <v>1860000</v>
      </c>
      <c r="O103" s="51">
        <f t="shared" si="21"/>
        <v>1860000</v>
      </c>
    </row>
    <row r="104" spans="1:15" ht="31.5">
      <c r="A104" s="92" t="s">
        <v>56</v>
      </c>
      <c r="B104" s="93" t="s">
        <v>57</v>
      </c>
      <c r="C104" s="64">
        <f>D104+G104</f>
        <v>1610200</v>
      </c>
      <c r="D104" s="64">
        <f>D105+D106</f>
        <v>0</v>
      </c>
      <c r="E104" s="64">
        <f aca="true" t="shared" si="27" ref="E104:M104">E105+E106</f>
        <v>0</v>
      </c>
      <c r="F104" s="64">
        <f t="shared" si="27"/>
        <v>0</v>
      </c>
      <c r="G104" s="64">
        <f t="shared" si="27"/>
        <v>1610200</v>
      </c>
      <c r="H104" s="64">
        <f t="shared" si="27"/>
        <v>0</v>
      </c>
      <c r="I104" s="64">
        <f t="shared" si="27"/>
        <v>0</v>
      </c>
      <c r="J104" s="64">
        <f t="shared" si="27"/>
        <v>0</v>
      </c>
      <c r="K104" s="64">
        <f t="shared" si="27"/>
        <v>0</v>
      </c>
      <c r="L104" s="64">
        <f t="shared" si="27"/>
        <v>0</v>
      </c>
      <c r="M104" s="64">
        <f t="shared" si="27"/>
        <v>0</v>
      </c>
      <c r="N104" s="68">
        <f>C104+H104</f>
        <v>1610200</v>
      </c>
      <c r="O104" s="51">
        <f t="shared" si="21"/>
        <v>1610200</v>
      </c>
    </row>
    <row r="105" spans="1:15" ht="63">
      <c r="A105" s="75" t="s">
        <v>58</v>
      </c>
      <c r="B105" s="125" t="s">
        <v>59</v>
      </c>
      <c r="C105" s="61">
        <f>D105+G105</f>
        <v>2214000</v>
      </c>
      <c r="D105" s="58"/>
      <c r="E105" s="58"/>
      <c r="F105" s="58"/>
      <c r="G105" s="58">
        <v>2214000</v>
      </c>
      <c r="H105" s="61"/>
      <c r="I105" s="63"/>
      <c r="J105" s="63"/>
      <c r="K105" s="63"/>
      <c r="L105" s="63"/>
      <c r="M105" s="63"/>
      <c r="N105" s="55">
        <f>C105+H105</f>
        <v>2214000</v>
      </c>
      <c r="O105" s="51">
        <f t="shared" si="21"/>
        <v>2214000</v>
      </c>
    </row>
    <row r="106" spans="1:15" s="40" customFormat="1" ht="21" customHeight="1">
      <c r="A106" s="75" t="s">
        <v>94</v>
      </c>
      <c r="B106" s="76" t="s">
        <v>95</v>
      </c>
      <c r="C106" s="55">
        <f>D106+G106</f>
        <v>-603800</v>
      </c>
      <c r="D106" s="60"/>
      <c r="E106" s="55"/>
      <c r="F106" s="55"/>
      <c r="G106" s="60">
        <v>-603800</v>
      </c>
      <c r="H106" s="55">
        <f>I106+L106</f>
        <v>0</v>
      </c>
      <c r="I106" s="60"/>
      <c r="J106" s="55"/>
      <c r="K106" s="55"/>
      <c r="L106" s="55"/>
      <c r="M106" s="55"/>
      <c r="N106" s="115">
        <f>C106+H106</f>
        <v>-603800</v>
      </c>
      <c r="O106" s="51">
        <f t="shared" si="21"/>
        <v>-603800</v>
      </c>
    </row>
    <row r="107" spans="1:15" s="40" customFormat="1" ht="33.75" customHeight="1">
      <c r="A107" s="163" t="s">
        <v>233</v>
      </c>
      <c r="B107" s="97" t="s">
        <v>234</v>
      </c>
      <c r="C107" s="165">
        <v>-50000</v>
      </c>
      <c r="D107" s="164"/>
      <c r="E107" s="68"/>
      <c r="F107" s="68"/>
      <c r="G107" s="164"/>
      <c r="H107" s="68"/>
      <c r="I107" s="164"/>
      <c r="J107" s="68"/>
      <c r="K107" s="68"/>
      <c r="L107" s="68"/>
      <c r="M107" s="68"/>
      <c r="N107" s="112">
        <f>C107+H107</f>
        <v>-50000</v>
      </c>
      <c r="O107" s="51"/>
    </row>
    <row r="108" spans="1:15" s="40" customFormat="1" ht="19.5">
      <c r="A108" s="110"/>
      <c r="B108" s="111" t="s">
        <v>16</v>
      </c>
      <c r="C108" s="118">
        <f>C7+C12+C17+C21+C24+C38+C58+C66+C75+C77+C82+C92+C101+C104+C107+C99</f>
        <v>10561734</v>
      </c>
      <c r="D108" s="118">
        <f aca="true" t="shared" si="28" ref="D108:N108">D7+D12+D17+D21+D24+D38+D58+D66+D75+D77+D82+D92+D101+D104+D107+D99</f>
        <v>6422139</v>
      </c>
      <c r="E108" s="118">
        <f t="shared" si="28"/>
        <v>627046</v>
      </c>
      <c r="F108" s="118">
        <f t="shared" si="28"/>
        <v>3091170</v>
      </c>
      <c r="G108" s="118">
        <f t="shared" si="28"/>
        <v>4189595</v>
      </c>
      <c r="H108" s="118">
        <f t="shared" si="28"/>
        <v>1806073</v>
      </c>
      <c r="I108" s="118">
        <f t="shared" si="28"/>
        <v>-272727</v>
      </c>
      <c r="J108" s="118">
        <f t="shared" si="28"/>
        <v>0</v>
      </c>
      <c r="K108" s="118">
        <f t="shared" si="28"/>
        <v>0</v>
      </c>
      <c r="L108" s="118">
        <f t="shared" si="28"/>
        <v>2078800</v>
      </c>
      <c r="M108" s="118">
        <f t="shared" si="28"/>
        <v>2377000</v>
      </c>
      <c r="N108" s="118">
        <f t="shared" si="28"/>
        <v>12367807</v>
      </c>
      <c r="O108" s="51">
        <f t="shared" si="21"/>
        <v>12367807</v>
      </c>
    </row>
    <row r="109" spans="1:15" ht="18" customHeight="1">
      <c r="A109" s="110"/>
      <c r="B109" s="111" t="s">
        <v>50</v>
      </c>
      <c r="C109" s="118">
        <f aca="true" t="shared" si="29" ref="C109:C118">D109+G109</f>
        <v>737800</v>
      </c>
      <c r="D109" s="119">
        <f>D116+D112+D114+D110</f>
        <v>111600</v>
      </c>
      <c r="E109" s="119">
        <f aca="true" t="shared" si="30" ref="E109:M109">E116+E112+E114+E110</f>
        <v>0</v>
      </c>
      <c r="F109" s="119">
        <f t="shared" si="30"/>
        <v>0</v>
      </c>
      <c r="G109" s="119">
        <f t="shared" si="30"/>
        <v>626200</v>
      </c>
      <c r="H109" s="119">
        <f t="shared" si="30"/>
        <v>570927</v>
      </c>
      <c r="I109" s="119">
        <f t="shared" si="30"/>
        <v>272727</v>
      </c>
      <c r="J109" s="119">
        <f t="shared" si="30"/>
        <v>0</v>
      </c>
      <c r="K109" s="119">
        <f t="shared" si="30"/>
        <v>0</v>
      </c>
      <c r="L109" s="119">
        <f t="shared" si="30"/>
        <v>298200</v>
      </c>
      <c r="M109" s="119">
        <f t="shared" si="30"/>
        <v>0</v>
      </c>
      <c r="N109" s="118">
        <f>C109+H109</f>
        <v>1308727</v>
      </c>
      <c r="O109" s="51">
        <f t="shared" si="21"/>
        <v>1308727</v>
      </c>
    </row>
    <row r="110" spans="1:15" ht="48.75" customHeight="1">
      <c r="A110" s="129" t="s">
        <v>78</v>
      </c>
      <c r="B110" s="130" t="s">
        <v>79</v>
      </c>
      <c r="C110" s="64">
        <f>D110+G110</f>
        <v>40000</v>
      </c>
      <c r="D110" s="159">
        <f>D111</f>
        <v>40000</v>
      </c>
      <c r="E110" s="119">
        <f aca="true" t="shared" si="31" ref="E110:M110">E111</f>
        <v>0</v>
      </c>
      <c r="F110" s="119">
        <f t="shared" si="31"/>
        <v>0</v>
      </c>
      <c r="G110" s="119">
        <f t="shared" si="31"/>
        <v>0</v>
      </c>
      <c r="H110" s="119">
        <f t="shared" si="31"/>
        <v>0</v>
      </c>
      <c r="I110" s="119">
        <f t="shared" si="31"/>
        <v>0</v>
      </c>
      <c r="J110" s="119">
        <f t="shared" si="31"/>
        <v>0</v>
      </c>
      <c r="K110" s="119">
        <f t="shared" si="31"/>
        <v>0</v>
      </c>
      <c r="L110" s="119">
        <f t="shared" si="31"/>
        <v>0</v>
      </c>
      <c r="M110" s="119">
        <f t="shared" si="31"/>
        <v>0</v>
      </c>
      <c r="N110" s="68">
        <f>C110+H110</f>
        <v>40000</v>
      </c>
      <c r="O110" s="51">
        <f t="shared" si="21"/>
        <v>40000</v>
      </c>
    </row>
    <row r="111" spans="1:15" ht="76.5" customHeight="1">
      <c r="A111" s="75" t="s">
        <v>106</v>
      </c>
      <c r="B111" s="138" t="s">
        <v>223</v>
      </c>
      <c r="C111" s="115">
        <f>D111+G111</f>
        <v>40000</v>
      </c>
      <c r="D111" s="60">
        <v>40000</v>
      </c>
      <c r="E111" s="134"/>
      <c r="F111" s="134"/>
      <c r="G111" s="134"/>
      <c r="H111" s="134"/>
      <c r="I111" s="134"/>
      <c r="J111" s="134"/>
      <c r="K111" s="134"/>
      <c r="L111" s="134"/>
      <c r="M111" s="134"/>
      <c r="N111" s="115">
        <f>C111+H111</f>
        <v>40000</v>
      </c>
      <c r="O111" s="51">
        <f t="shared" si="21"/>
        <v>40000</v>
      </c>
    </row>
    <row r="112" spans="1:15" ht="53.25" customHeight="1">
      <c r="A112" s="90" t="s">
        <v>20</v>
      </c>
      <c r="B112" s="97" t="s">
        <v>222</v>
      </c>
      <c r="C112" s="118">
        <f t="shared" si="29"/>
        <v>0</v>
      </c>
      <c r="D112" s="119">
        <f>D113</f>
        <v>0</v>
      </c>
      <c r="E112" s="119">
        <f aca="true" t="shared" si="32" ref="E112:M112">E113</f>
        <v>0</v>
      </c>
      <c r="F112" s="119">
        <f t="shared" si="32"/>
        <v>0</v>
      </c>
      <c r="G112" s="119">
        <f t="shared" si="32"/>
        <v>0</v>
      </c>
      <c r="H112" s="68">
        <f t="shared" si="32"/>
        <v>570927</v>
      </c>
      <c r="I112" s="68">
        <f t="shared" si="32"/>
        <v>272727</v>
      </c>
      <c r="J112" s="68">
        <f t="shared" si="32"/>
        <v>0</v>
      </c>
      <c r="K112" s="68">
        <f t="shared" si="32"/>
        <v>0</v>
      </c>
      <c r="L112" s="68">
        <f t="shared" si="32"/>
        <v>298200</v>
      </c>
      <c r="M112" s="68">
        <f t="shared" si="32"/>
        <v>0</v>
      </c>
      <c r="N112" s="112">
        <f>H112+C112</f>
        <v>570927</v>
      </c>
      <c r="O112" s="51">
        <f t="shared" si="21"/>
        <v>570927</v>
      </c>
    </row>
    <row r="113" spans="1:15" ht="48.75" customHeight="1">
      <c r="A113" s="75" t="s">
        <v>106</v>
      </c>
      <c r="B113" s="138" t="s">
        <v>107</v>
      </c>
      <c r="C113" s="135">
        <f t="shared" si="29"/>
        <v>0</v>
      </c>
      <c r="D113" s="134"/>
      <c r="E113" s="134"/>
      <c r="F113" s="134"/>
      <c r="G113" s="134"/>
      <c r="H113" s="59">
        <f>I113+L113</f>
        <v>570927</v>
      </c>
      <c r="I113" s="59">
        <v>272727</v>
      </c>
      <c r="J113" s="59"/>
      <c r="K113" s="59"/>
      <c r="L113" s="59">
        <v>298200</v>
      </c>
      <c r="M113" s="134"/>
      <c r="N113" s="115">
        <f aca="true" t="shared" si="33" ref="N113:N118">C113+H113</f>
        <v>570927</v>
      </c>
      <c r="O113" s="51">
        <f t="shared" si="21"/>
        <v>570927</v>
      </c>
    </row>
    <row r="114" spans="1:15" ht="60.75" customHeight="1">
      <c r="A114" s="90" t="s">
        <v>80</v>
      </c>
      <c r="B114" s="91" t="s">
        <v>81</v>
      </c>
      <c r="C114" s="112">
        <f t="shared" si="29"/>
        <v>572200</v>
      </c>
      <c r="D114" s="68">
        <f>D115</f>
        <v>32000</v>
      </c>
      <c r="E114" s="68">
        <f aca="true" t="shared" si="34" ref="E114:M114">E115</f>
        <v>0</v>
      </c>
      <c r="F114" s="68">
        <f t="shared" si="34"/>
        <v>0</v>
      </c>
      <c r="G114" s="68">
        <f t="shared" si="34"/>
        <v>540200</v>
      </c>
      <c r="H114" s="68">
        <f t="shared" si="34"/>
        <v>0</v>
      </c>
      <c r="I114" s="68">
        <f t="shared" si="34"/>
        <v>0</v>
      </c>
      <c r="J114" s="68">
        <f t="shared" si="34"/>
        <v>0</v>
      </c>
      <c r="K114" s="68">
        <f t="shared" si="34"/>
        <v>0</v>
      </c>
      <c r="L114" s="68">
        <f t="shared" si="34"/>
        <v>0</v>
      </c>
      <c r="M114" s="68">
        <f t="shared" si="34"/>
        <v>0</v>
      </c>
      <c r="N114" s="68">
        <f t="shared" si="33"/>
        <v>572200</v>
      </c>
      <c r="O114" s="51">
        <f t="shared" si="21"/>
        <v>572200</v>
      </c>
    </row>
    <row r="115" spans="1:15" ht="82.5" customHeight="1">
      <c r="A115" s="75" t="s">
        <v>106</v>
      </c>
      <c r="B115" s="138" t="s">
        <v>219</v>
      </c>
      <c r="C115" s="115">
        <f t="shared" si="29"/>
        <v>572200</v>
      </c>
      <c r="D115" s="59">
        <v>32000</v>
      </c>
      <c r="E115" s="59"/>
      <c r="F115" s="59"/>
      <c r="G115" s="59">
        <v>540200</v>
      </c>
      <c r="H115" s="59"/>
      <c r="I115" s="59"/>
      <c r="J115" s="59"/>
      <c r="K115" s="59"/>
      <c r="L115" s="59"/>
      <c r="M115" s="134"/>
      <c r="N115" s="115">
        <f t="shared" si="33"/>
        <v>572200</v>
      </c>
      <c r="O115" s="51">
        <f t="shared" si="21"/>
        <v>572200</v>
      </c>
    </row>
    <row r="116" spans="1:15" ht="32.25" customHeight="1">
      <c r="A116" s="92" t="s">
        <v>56</v>
      </c>
      <c r="B116" s="93" t="s">
        <v>57</v>
      </c>
      <c r="C116" s="112">
        <f t="shared" si="29"/>
        <v>125600</v>
      </c>
      <c r="D116" s="68">
        <f>D118+D117</f>
        <v>39600</v>
      </c>
      <c r="E116" s="68">
        <f aca="true" t="shared" si="35" ref="E116:M116">E118+E117</f>
        <v>0</v>
      </c>
      <c r="F116" s="68">
        <f t="shared" si="35"/>
        <v>0</v>
      </c>
      <c r="G116" s="68">
        <f t="shared" si="35"/>
        <v>86000</v>
      </c>
      <c r="H116" s="68">
        <f t="shared" si="35"/>
        <v>0</v>
      </c>
      <c r="I116" s="68">
        <f t="shared" si="35"/>
        <v>0</v>
      </c>
      <c r="J116" s="68">
        <f t="shared" si="35"/>
        <v>0</v>
      </c>
      <c r="K116" s="68">
        <f t="shared" si="35"/>
        <v>0</v>
      </c>
      <c r="L116" s="68">
        <f t="shared" si="35"/>
        <v>0</v>
      </c>
      <c r="M116" s="68">
        <f t="shared" si="35"/>
        <v>0</v>
      </c>
      <c r="N116" s="112">
        <f t="shared" si="33"/>
        <v>125600</v>
      </c>
      <c r="O116" s="51">
        <f t="shared" si="21"/>
        <v>125600</v>
      </c>
    </row>
    <row r="117" spans="1:15" ht="81.75" customHeight="1">
      <c r="A117" s="75" t="s">
        <v>106</v>
      </c>
      <c r="B117" s="138" t="s">
        <v>140</v>
      </c>
      <c r="C117" s="115">
        <f t="shared" si="29"/>
        <v>100000</v>
      </c>
      <c r="D117" s="59">
        <v>14000</v>
      </c>
      <c r="E117" s="59"/>
      <c r="F117" s="59"/>
      <c r="G117" s="59">
        <v>86000</v>
      </c>
      <c r="H117" s="59"/>
      <c r="I117" s="59"/>
      <c r="J117" s="59"/>
      <c r="K117" s="59"/>
      <c r="L117" s="59"/>
      <c r="M117" s="59"/>
      <c r="N117" s="115">
        <f t="shared" si="33"/>
        <v>100000</v>
      </c>
      <c r="O117" s="51">
        <f t="shared" si="21"/>
        <v>100000</v>
      </c>
    </row>
    <row r="118" spans="1:15" ht="95.25" customHeight="1">
      <c r="A118" s="75" t="s">
        <v>65</v>
      </c>
      <c r="B118" s="147" t="s">
        <v>66</v>
      </c>
      <c r="C118" s="115">
        <f t="shared" si="29"/>
        <v>25600</v>
      </c>
      <c r="D118" s="59">
        <v>25600</v>
      </c>
      <c r="E118" s="113"/>
      <c r="F118" s="113"/>
      <c r="G118" s="113"/>
      <c r="H118" s="114"/>
      <c r="I118" s="113"/>
      <c r="J118" s="113"/>
      <c r="K118" s="113"/>
      <c r="L118" s="113"/>
      <c r="M118" s="113"/>
      <c r="N118" s="115">
        <f t="shared" si="33"/>
        <v>25600</v>
      </c>
      <c r="O118" s="51">
        <f t="shared" si="21"/>
        <v>25600</v>
      </c>
    </row>
    <row r="119" spans="1:15" ht="22.5" customHeight="1" thickBot="1">
      <c r="A119" s="116"/>
      <c r="B119" s="117" t="s">
        <v>52</v>
      </c>
      <c r="C119" s="101">
        <f>C108+C109</f>
        <v>11299534</v>
      </c>
      <c r="D119" s="101">
        <f>D108+D109</f>
        <v>6533739</v>
      </c>
      <c r="E119" s="101">
        <f aca="true" t="shared" si="36" ref="E119:N119">E108+E109</f>
        <v>627046</v>
      </c>
      <c r="F119" s="101">
        <f t="shared" si="36"/>
        <v>3091170</v>
      </c>
      <c r="G119" s="101">
        <f t="shared" si="36"/>
        <v>4815795</v>
      </c>
      <c r="H119" s="101">
        <f t="shared" si="36"/>
        <v>2377000</v>
      </c>
      <c r="I119" s="101">
        <f t="shared" si="36"/>
        <v>0</v>
      </c>
      <c r="J119" s="101">
        <f t="shared" si="36"/>
        <v>0</v>
      </c>
      <c r="K119" s="101">
        <f t="shared" si="36"/>
        <v>0</v>
      </c>
      <c r="L119" s="101">
        <f t="shared" si="36"/>
        <v>2377000</v>
      </c>
      <c r="M119" s="101">
        <f t="shared" si="36"/>
        <v>2377000</v>
      </c>
      <c r="N119" s="101">
        <f t="shared" si="36"/>
        <v>13676534</v>
      </c>
      <c r="O119" s="51">
        <f t="shared" si="21"/>
        <v>13676534</v>
      </c>
    </row>
    <row r="120" spans="1:15" ht="47.25" customHeight="1">
      <c r="A120" s="15"/>
      <c r="B120" s="18"/>
      <c r="C120" s="4"/>
      <c r="D120" s="2"/>
      <c r="E120" s="2"/>
      <c r="F120" s="2"/>
      <c r="G120" s="2"/>
      <c r="H120" s="6"/>
      <c r="I120" s="2"/>
      <c r="J120" s="2"/>
      <c r="K120" s="19"/>
      <c r="L120" s="2"/>
      <c r="M120" s="2"/>
      <c r="N120" s="44"/>
      <c r="O120" s="51">
        <f>C120+H120</f>
        <v>0</v>
      </c>
    </row>
    <row r="121" spans="1:15" ht="37.5" customHeight="1">
      <c r="A121" s="16"/>
      <c r="B121" s="169" t="s">
        <v>10</v>
      </c>
      <c r="C121" s="169"/>
      <c r="D121" s="169"/>
      <c r="E121" s="25"/>
      <c r="G121" s="29"/>
      <c r="H121" s="30"/>
      <c r="I121" s="29"/>
      <c r="J121" s="29"/>
      <c r="K121" s="169" t="s">
        <v>34</v>
      </c>
      <c r="L121" s="169"/>
      <c r="M121" s="2"/>
      <c r="N121" s="4"/>
      <c r="O121" s="51"/>
    </row>
    <row r="122" spans="1:15" ht="15.75">
      <c r="A122" s="3"/>
      <c r="C122" s="4"/>
      <c r="D122" s="2"/>
      <c r="E122" s="2"/>
      <c r="F122" s="2"/>
      <c r="G122" s="2"/>
      <c r="H122" s="6"/>
      <c r="I122" s="2"/>
      <c r="J122" s="2"/>
      <c r="K122" s="2"/>
      <c r="L122" s="2"/>
      <c r="M122" s="2"/>
      <c r="N122" s="4"/>
      <c r="O122" s="51"/>
    </row>
    <row r="123" spans="1:15" ht="15.75">
      <c r="A123" s="15"/>
      <c r="F123">
        <f>3189495-60225+7000+40400-85500</f>
        <v>3091170</v>
      </c>
      <c r="O123" s="51"/>
    </row>
    <row r="124" spans="1:15" ht="15.75">
      <c r="A124" s="15"/>
      <c r="C124" s="34"/>
      <c r="F124" s="153">
        <f>F119-F123</f>
        <v>0</v>
      </c>
      <c r="O124" s="51"/>
    </row>
    <row r="125" spans="1:15" ht="15.75">
      <c r="A125" s="15"/>
      <c r="B125" s="12" t="s">
        <v>21</v>
      </c>
      <c r="C125" s="43">
        <f>C108-'додаток 2'!C42</f>
        <v>0</v>
      </c>
      <c r="D125" s="43">
        <f>D108-'додаток 2'!D42</f>
        <v>0</v>
      </c>
      <c r="E125" s="43">
        <f>E108-'додаток 2'!E42</f>
        <v>0</v>
      </c>
      <c r="F125" s="43">
        <f>F108-'додаток 2'!F42</f>
        <v>0</v>
      </c>
      <c r="G125" s="43">
        <f>G108-'додаток 2'!G42</f>
        <v>0</v>
      </c>
      <c r="H125" s="43">
        <f>H108-'додаток 2'!H42</f>
        <v>0</v>
      </c>
      <c r="I125" s="43">
        <f>I108-'додаток 2'!I42</f>
        <v>0</v>
      </c>
      <c r="J125" s="43">
        <f>J108-'додаток 2'!J42</f>
        <v>0</v>
      </c>
      <c r="K125" s="43">
        <f>K108-'додаток 2'!K42</f>
        <v>0</v>
      </c>
      <c r="L125" s="43">
        <f>L108-'додаток 2'!L42</f>
        <v>0</v>
      </c>
      <c r="M125" s="43">
        <f>M108-'додаток 2'!M42</f>
        <v>0</v>
      </c>
      <c r="N125" s="43">
        <f>N108-'додаток 2'!N42</f>
        <v>0</v>
      </c>
      <c r="O125" s="51"/>
    </row>
    <row r="126" spans="1:15" ht="15.75">
      <c r="A126" s="15"/>
      <c r="B126" s="12" t="s">
        <v>51</v>
      </c>
      <c r="C126" s="34">
        <f>C119-'додаток 2'!C50</f>
        <v>0</v>
      </c>
      <c r="D126" s="34">
        <f>D119-'додаток 2'!D50</f>
        <v>0</v>
      </c>
      <c r="E126" s="34">
        <f>E119-'додаток 2'!E50</f>
        <v>0</v>
      </c>
      <c r="F126" s="34"/>
      <c r="G126" s="34">
        <f>G119-'додаток 2'!G50</f>
        <v>0</v>
      </c>
      <c r="H126" s="34">
        <f>H119-'додаток 2'!H50</f>
        <v>0</v>
      </c>
      <c r="I126" s="34">
        <f>I119-'додаток 2'!I50</f>
        <v>0</v>
      </c>
      <c r="J126" s="34">
        <f>J119-'додаток 2'!J50</f>
        <v>0</v>
      </c>
      <c r="K126" s="34">
        <f>K119-'додаток 2'!K50</f>
        <v>0</v>
      </c>
      <c r="L126" s="34">
        <f>L119-'додаток 2'!L50</f>
        <v>0</v>
      </c>
      <c r="M126" s="34">
        <f>M119-'додаток 2'!M50</f>
        <v>0</v>
      </c>
      <c r="N126" s="34">
        <f>N119-'додаток 2'!N50</f>
        <v>0</v>
      </c>
      <c r="O126" s="51"/>
    </row>
    <row r="127" spans="1:15" ht="15.75">
      <c r="A127" s="15"/>
      <c r="B127" s="12" t="s">
        <v>217</v>
      </c>
      <c r="C127" s="43">
        <f>C119-'[1]додаток 1уточ.'!$C$25</f>
        <v>3858123</v>
      </c>
      <c r="D127" s="43"/>
      <c r="E127" s="43"/>
      <c r="F127" s="43"/>
      <c r="G127" s="43"/>
      <c r="H127" s="46">
        <f>H119-'[1]додаток 1уточ.'!$D$25</f>
        <v>0</v>
      </c>
      <c r="I127" s="43"/>
      <c r="J127" s="43"/>
      <c r="K127" s="43"/>
      <c r="L127" s="43">
        <f>L119-'[1]додаток 1уточ.'!$D$25</f>
        <v>0</v>
      </c>
      <c r="M127" s="43">
        <f>M119-'[1]додаток 1уточ.'!$E$25</f>
        <v>0</v>
      </c>
      <c r="N127" s="43">
        <f>N119-'[1]додаток 1уточ.'!$F$25</f>
        <v>3858123</v>
      </c>
      <c r="O127" s="51"/>
    </row>
    <row r="128" spans="1:15" ht="15.75">
      <c r="A128" s="15"/>
      <c r="C128" s="43">
        <f>7415811+25600</f>
        <v>7441411</v>
      </c>
      <c r="D128" s="43"/>
      <c r="E128" s="43"/>
      <c r="F128" s="43"/>
      <c r="G128" s="43"/>
      <c r="H128" s="46"/>
      <c r="I128" s="43"/>
      <c r="J128" s="43"/>
      <c r="K128" s="43"/>
      <c r="L128" s="43"/>
      <c r="M128" s="43"/>
      <c r="N128" s="43"/>
      <c r="O128" s="51"/>
    </row>
    <row r="129" spans="1:15" ht="15.75">
      <c r="A129" s="15"/>
      <c r="B129" s="12" t="s">
        <v>214</v>
      </c>
      <c r="C129" s="1">
        <v>204000</v>
      </c>
      <c r="O129" s="51"/>
    </row>
    <row r="130" spans="1:15" ht="15.75">
      <c r="A130" s="15"/>
      <c r="B130" s="12" t="s">
        <v>215</v>
      </c>
      <c r="C130" s="1">
        <v>4062123</v>
      </c>
      <c r="O130" s="51"/>
    </row>
    <row r="131" spans="1:15" ht="15.75">
      <c r="A131" s="15"/>
      <c r="B131" s="12" t="s">
        <v>216</v>
      </c>
      <c r="C131" s="43">
        <f>C128+C130-C129-C119</f>
        <v>0</v>
      </c>
      <c r="O131" s="51"/>
    </row>
    <row r="132" spans="1:15" ht="15.75">
      <c r="A132" s="15"/>
      <c r="O132" s="51"/>
    </row>
    <row r="133" spans="1:15" ht="15.75">
      <c r="A133" s="15"/>
      <c r="O133" s="51"/>
    </row>
    <row r="134" spans="1:15" ht="15.75">
      <c r="A134" s="15"/>
      <c r="O134" s="51"/>
    </row>
    <row r="135" spans="1:15" ht="15.75">
      <c r="A135" s="15"/>
      <c r="C135" s="43"/>
      <c r="H135" s="47"/>
      <c r="O135" s="51"/>
    </row>
    <row r="136" spans="1:15" ht="15.75">
      <c r="A136" s="15"/>
      <c r="O136" s="51"/>
    </row>
    <row r="137" spans="1:15" ht="15.75">
      <c r="A137" s="15"/>
      <c r="C137" s="1">
        <f>C135-C134-C136</f>
        <v>0</v>
      </c>
      <c r="D137" s="1">
        <f aca="true" t="shared" si="37" ref="D137:N137">D135-D134-D136</f>
        <v>0</v>
      </c>
      <c r="E137" s="1">
        <f t="shared" si="37"/>
        <v>0</v>
      </c>
      <c r="F137" s="1">
        <f t="shared" si="37"/>
        <v>0</v>
      </c>
      <c r="G137" s="1">
        <f t="shared" si="37"/>
        <v>0</v>
      </c>
      <c r="H137" s="1">
        <f t="shared" si="37"/>
        <v>0</v>
      </c>
      <c r="I137" s="1">
        <f t="shared" si="37"/>
        <v>0</v>
      </c>
      <c r="J137" s="1">
        <f t="shared" si="37"/>
        <v>0</v>
      </c>
      <c r="K137" s="1">
        <f t="shared" si="37"/>
        <v>0</v>
      </c>
      <c r="L137" s="1">
        <f t="shared" si="37"/>
        <v>0</v>
      </c>
      <c r="M137" s="1">
        <f t="shared" si="37"/>
        <v>0</v>
      </c>
      <c r="N137" s="1">
        <f t="shared" si="37"/>
        <v>0</v>
      </c>
      <c r="O137" s="51">
        <f>C137+H137</f>
        <v>0</v>
      </c>
    </row>
    <row r="138" ht="12.75">
      <c r="A138" s="15"/>
    </row>
    <row r="139" ht="12.75">
      <c r="A139" s="15"/>
    </row>
    <row r="140" ht="12.75">
      <c r="A140" s="15"/>
    </row>
    <row r="141" ht="12.75">
      <c r="A141" s="15"/>
    </row>
    <row r="142" ht="12.75">
      <c r="A142" s="15"/>
    </row>
    <row r="143" ht="12.75">
      <c r="A143" s="15"/>
    </row>
    <row r="144" ht="12.75">
      <c r="A144" s="15"/>
    </row>
    <row r="145" ht="12.75">
      <c r="A145" s="15"/>
    </row>
    <row r="146" ht="12.75">
      <c r="A146" s="15"/>
    </row>
    <row r="147" ht="12.75">
      <c r="A147" s="15"/>
    </row>
    <row r="148" ht="12.75">
      <c r="A148" s="15"/>
    </row>
    <row r="149" ht="12.75">
      <c r="A149" s="15"/>
    </row>
    <row r="150" ht="12.75">
      <c r="A150" s="15"/>
    </row>
    <row r="151" ht="12.75">
      <c r="A151" s="15"/>
    </row>
    <row r="152" ht="12.75">
      <c r="A152" s="15"/>
    </row>
    <row r="153" ht="12.75">
      <c r="A153" s="15"/>
    </row>
    <row r="154" ht="12.75">
      <c r="A154" s="15"/>
    </row>
    <row r="155" ht="12.75">
      <c r="A155" s="15"/>
    </row>
    <row r="156" ht="12.75">
      <c r="A156" s="15"/>
    </row>
    <row r="157" ht="12.75">
      <c r="A157" s="15"/>
    </row>
    <row r="158" ht="12.75">
      <c r="A158" s="15"/>
    </row>
    <row r="159" ht="12.75">
      <c r="A159" s="15"/>
    </row>
    <row r="160" ht="12.75">
      <c r="A160" s="15"/>
    </row>
    <row r="161" ht="12.75">
      <c r="A161" s="15"/>
    </row>
    <row r="162" ht="12.75">
      <c r="A162" s="15"/>
    </row>
    <row r="163" ht="12.75">
      <c r="A163" s="15"/>
    </row>
    <row r="164" ht="12.75">
      <c r="A164" s="15"/>
    </row>
    <row r="165" ht="12.75">
      <c r="A165" s="15"/>
    </row>
    <row r="166" ht="12.75">
      <c r="A166" s="15"/>
    </row>
    <row r="167" ht="12.75">
      <c r="A167" s="15"/>
    </row>
    <row r="168" ht="12.75">
      <c r="A168" s="15"/>
    </row>
    <row r="169" ht="12.75">
      <c r="A169" s="15"/>
    </row>
    <row r="170" ht="12.75">
      <c r="A170" s="15"/>
    </row>
    <row r="171" ht="12.75">
      <c r="A171" s="15"/>
    </row>
    <row r="172" ht="12.75">
      <c r="A172" s="15"/>
    </row>
    <row r="173" ht="12.75">
      <c r="A173" s="15"/>
    </row>
    <row r="174" ht="12.75">
      <c r="A174" s="15"/>
    </row>
    <row r="175" ht="12.75">
      <c r="A175" s="15"/>
    </row>
    <row r="176" ht="12.75">
      <c r="A176" s="15"/>
    </row>
    <row r="177" ht="12.75">
      <c r="A177" s="15"/>
    </row>
    <row r="178" ht="12.75">
      <c r="A178" s="15"/>
    </row>
    <row r="179" ht="12.75">
      <c r="A179" s="15"/>
    </row>
    <row r="180" ht="12.75">
      <c r="A180" s="15"/>
    </row>
    <row r="181" ht="12.75">
      <c r="A181" s="15"/>
    </row>
    <row r="182" ht="12.75">
      <c r="A182" s="15"/>
    </row>
    <row r="183" ht="12.75">
      <c r="A183" s="15"/>
    </row>
    <row r="184" ht="12.75">
      <c r="A184" s="15"/>
    </row>
    <row r="185" ht="12.75">
      <c r="A185" s="15"/>
    </row>
    <row r="186" ht="12.75">
      <c r="A186" s="15"/>
    </row>
    <row r="187" ht="12.75">
      <c r="A187" s="15"/>
    </row>
    <row r="188" ht="12.75">
      <c r="A188" s="15"/>
    </row>
    <row r="189" ht="12.75">
      <c r="A189" s="15"/>
    </row>
    <row r="190" ht="12.75">
      <c r="A190" s="15"/>
    </row>
    <row r="191" ht="12.75">
      <c r="A191" s="15"/>
    </row>
    <row r="192" ht="12.75">
      <c r="A192" s="15"/>
    </row>
    <row r="193" ht="12.75">
      <c r="A193" s="15"/>
    </row>
    <row r="194" ht="12.75">
      <c r="A194" s="15"/>
    </row>
    <row r="195" ht="12.75">
      <c r="A195" s="15"/>
    </row>
    <row r="196" ht="12.75">
      <c r="A196" s="15"/>
    </row>
    <row r="197" ht="12.75">
      <c r="A197" s="15"/>
    </row>
    <row r="198" ht="12.75">
      <c r="A198" s="15"/>
    </row>
    <row r="199" ht="12.75">
      <c r="A199" s="15"/>
    </row>
    <row r="200" ht="12.75">
      <c r="A200" s="15"/>
    </row>
    <row r="201" ht="12.75">
      <c r="A201" s="15"/>
    </row>
    <row r="202" ht="12.75">
      <c r="A202" s="15"/>
    </row>
    <row r="203" ht="12.75">
      <c r="A203" s="15"/>
    </row>
    <row r="204" ht="12.75">
      <c r="A204" s="15"/>
    </row>
    <row r="205" ht="12.75">
      <c r="A205" s="15"/>
    </row>
    <row r="206" ht="12.75">
      <c r="A206" s="15"/>
    </row>
    <row r="207" ht="12.75">
      <c r="A207" s="15"/>
    </row>
    <row r="208" ht="12.75">
      <c r="A208" s="15"/>
    </row>
    <row r="209" ht="12.75">
      <c r="A209" s="15"/>
    </row>
    <row r="210" ht="12.75">
      <c r="A210" s="15"/>
    </row>
    <row r="211" ht="12.75">
      <c r="A211" s="15"/>
    </row>
    <row r="212" ht="12.75">
      <c r="A212" s="15"/>
    </row>
    <row r="213" ht="12.75">
      <c r="A213" s="15"/>
    </row>
    <row r="214" ht="12.75">
      <c r="A214" s="15"/>
    </row>
    <row r="215" ht="12.75">
      <c r="A215" s="15"/>
    </row>
    <row r="216" ht="12.75">
      <c r="A216" s="15"/>
    </row>
    <row r="217" ht="12.75">
      <c r="A217" s="15"/>
    </row>
    <row r="218" ht="12.75">
      <c r="A218" s="15"/>
    </row>
    <row r="219" ht="12.75">
      <c r="A219" s="15"/>
    </row>
    <row r="220" ht="12.75">
      <c r="A220" s="15"/>
    </row>
    <row r="221" ht="12.75">
      <c r="A221" s="15"/>
    </row>
    <row r="222" ht="12.75">
      <c r="A222" s="15"/>
    </row>
    <row r="223" ht="12.75">
      <c r="A223" s="15"/>
    </row>
    <row r="224" ht="12.75">
      <c r="A224" s="15"/>
    </row>
    <row r="225" ht="12.75">
      <c r="A225" s="15"/>
    </row>
    <row r="226" ht="12.75">
      <c r="A226" s="15"/>
    </row>
    <row r="227" ht="12.75">
      <c r="A227" s="15"/>
    </row>
    <row r="228" ht="12.75">
      <c r="A228" s="15"/>
    </row>
    <row r="229" ht="12.75">
      <c r="A229" s="15"/>
    </row>
    <row r="230" ht="12.75">
      <c r="A230" s="15"/>
    </row>
    <row r="231" ht="12.75">
      <c r="A231" s="15"/>
    </row>
    <row r="232" ht="12.75">
      <c r="A232" s="15"/>
    </row>
    <row r="233" ht="12.75">
      <c r="A233" s="15"/>
    </row>
    <row r="234" ht="12.75">
      <c r="A234" s="15"/>
    </row>
    <row r="235" ht="12.75">
      <c r="A235" s="15"/>
    </row>
    <row r="236" ht="12.75">
      <c r="A236" s="15"/>
    </row>
    <row r="237" ht="12.75">
      <c r="A237" s="15"/>
    </row>
    <row r="238" ht="12.75">
      <c r="A238" s="15"/>
    </row>
    <row r="239" ht="12.75">
      <c r="A239" s="15"/>
    </row>
    <row r="240" ht="12.75">
      <c r="A240" s="15"/>
    </row>
    <row r="241" ht="12.75">
      <c r="A241" s="15"/>
    </row>
    <row r="242" ht="12.75">
      <c r="A242" s="15"/>
    </row>
    <row r="243" ht="12.75">
      <c r="A243" s="15"/>
    </row>
    <row r="244" ht="12.75">
      <c r="A244" s="15"/>
    </row>
    <row r="245" ht="12.75">
      <c r="A245" s="15"/>
    </row>
    <row r="246" ht="12.75">
      <c r="A246" s="15"/>
    </row>
    <row r="247" ht="12.75">
      <c r="A247" s="15"/>
    </row>
    <row r="248" ht="12.75">
      <c r="A248" s="15"/>
    </row>
    <row r="249" ht="12.75">
      <c r="A249" s="15"/>
    </row>
    <row r="250" ht="12.75">
      <c r="A250" s="15"/>
    </row>
    <row r="251" ht="12.75">
      <c r="A251" s="15"/>
    </row>
    <row r="252" ht="12.75">
      <c r="A252" s="15"/>
    </row>
    <row r="253" ht="12.75">
      <c r="A253" s="15"/>
    </row>
    <row r="254" ht="12.75">
      <c r="A254" s="15"/>
    </row>
    <row r="255" ht="12.75">
      <c r="A255" s="15"/>
    </row>
    <row r="256" ht="12.75">
      <c r="A256" s="15"/>
    </row>
    <row r="257" ht="12.75">
      <c r="A257" s="15"/>
    </row>
    <row r="258" ht="12.75">
      <c r="A258" s="15"/>
    </row>
    <row r="259" ht="12.75">
      <c r="A259" s="15"/>
    </row>
    <row r="260" ht="12.75">
      <c r="A260" s="15"/>
    </row>
    <row r="261" ht="12.75">
      <c r="A261" s="15"/>
    </row>
    <row r="262" ht="12.75">
      <c r="A262" s="15"/>
    </row>
    <row r="263" ht="12.75">
      <c r="A263" s="15"/>
    </row>
    <row r="264" ht="12.75">
      <c r="A264" s="15"/>
    </row>
    <row r="265" ht="12.75">
      <c r="A265" s="15"/>
    </row>
    <row r="266" ht="12.75">
      <c r="A266" s="15"/>
    </row>
    <row r="267" ht="12.75">
      <c r="A267" s="15"/>
    </row>
    <row r="268" ht="12.75">
      <c r="A268" s="15"/>
    </row>
    <row r="269" ht="12.75">
      <c r="A269" s="15"/>
    </row>
    <row r="270" ht="12.75">
      <c r="A270" s="15"/>
    </row>
    <row r="271" ht="12.75">
      <c r="A271" s="15"/>
    </row>
    <row r="272" ht="12.75">
      <c r="A272" s="15"/>
    </row>
    <row r="273" ht="12.75">
      <c r="A273" s="15"/>
    </row>
    <row r="274" ht="12.75">
      <c r="A274" s="15"/>
    </row>
    <row r="275" ht="12.75">
      <c r="A275" s="15"/>
    </row>
    <row r="276" ht="12.75">
      <c r="A276" s="15"/>
    </row>
    <row r="277" ht="12.75">
      <c r="A277" s="15"/>
    </row>
    <row r="278" ht="12.75">
      <c r="A278" s="15"/>
    </row>
    <row r="279" ht="12.75">
      <c r="A279" s="15"/>
    </row>
    <row r="280" ht="12.75">
      <c r="A280" s="15"/>
    </row>
    <row r="281" ht="12.75">
      <c r="A281" s="15"/>
    </row>
    <row r="282" ht="12.75">
      <c r="A282" s="15"/>
    </row>
    <row r="283" ht="12.75">
      <c r="A283" s="15"/>
    </row>
    <row r="284" ht="12.75">
      <c r="A284" s="15"/>
    </row>
    <row r="285" ht="12.75">
      <c r="A285" s="15"/>
    </row>
    <row r="286" ht="12.75">
      <c r="A286" s="15"/>
    </row>
    <row r="287" ht="12.75">
      <c r="A287" s="15"/>
    </row>
    <row r="288" ht="12.75">
      <c r="A288" s="15"/>
    </row>
    <row r="289" ht="12.75">
      <c r="A289" s="15"/>
    </row>
    <row r="290" ht="12.75">
      <c r="A290" s="15"/>
    </row>
    <row r="291" ht="12.75">
      <c r="A291" s="15"/>
    </row>
    <row r="292" ht="12.75">
      <c r="A292" s="15"/>
    </row>
  </sheetData>
  <mergeCells count="16">
    <mergeCell ref="B121:D121"/>
    <mergeCell ref="C3:G3"/>
    <mergeCell ref="H3:M3"/>
    <mergeCell ref="M4:M5"/>
    <mergeCell ref="B4:B5"/>
    <mergeCell ref="L4:L5"/>
    <mergeCell ref="A4:A5"/>
    <mergeCell ref="K121:L121"/>
    <mergeCell ref="N3:N5"/>
    <mergeCell ref="C4:C5"/>
    <mergeCell ref="E4:F4"/>
    <mergeCell ref="D4:D5"/>
    <mergeCell ref="G4:G5"/>
    <mergeCell ref="H4:H5"/>
    <mergeCell ref="I4:I5"/>
    <mergeCell ref="J4:K4"/>
  </mergeCells>
  <printOptions horizontalCentered="1"/>
  <pageMargins left="0.984251968503937" right="0.5905511811023623" top="0.5905511811023623" bottom="0.5905511811023623" header="0.2755905511811024" footer="0.11811023622047245"/>
  <pageSetup horizontalDpi="600" verticalDpi="600" orientation="landscape" paperSize="9" scale="55" r:id="rId2"/>
  <headerFooter alignWithMargins="0">
    <oddHeader>&amp;C&amp;P</oddHeader>
  </headerFooter>
  <rowBreaks count="1" manualBreakCount="1">
    <brk id="81" max="1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1"/>
  <sheetViews>
    <sheetView showZeros="0" view="pageBreakPreview" zoomScaleSheetLayoutView="100" workbookViewId="0" topLeftCell="A7">
      <pane xSplit="2" ySplit="4" topLeftCell="C11" activePane="bottomRight" state="frozen"/>
      <selection pane="topLeft" activeCell="A7" sqref="A7"/>
      <selection pane="topRight" activeCell="C7" sqref="C7"/>
      <selection pane="bottomLeft" activeCell="A11" sqref="A11"/>
      <selection pane="bottomRight" activeCell="F52" sqref="F52"/>
    </sheetView>
  </sheetViews>
  <sheetFormatPr defaultColWidth="9.33203125" defaultRowHeight="12.75"/>
  <cols>
    <col min="1" max="1" width="10" style="9" customWidth="1"/>
    <col min="2" max="2" width="40.83203125" style="70" customWidth="1"/>
    <col min="3" max="3" width="20.83203125" style="10" customWidth="1"/>
    <col min="4" max="4" width="20.83203125" style="7" customWidth="1"/>
    <col min="5" max="5" width="17.83203125" style="7" customWidth="1"/>
    <col min="6" max="6" width="16.16015625" style="7" customWidth="1"/>
    <col min="7" max="7" width="16.5" style="7" customWidth="1"/>
    <col min="8" max="8" width="18" style="10" customWidth="1"/>
    <col min="9" max="9" width="17.5" style="7" customWidth="1"/>
    <col min="10" max="10" width="13.5" style="7" customWidth="1"/>
    <col min="11" max="11" width="14.5" style="7" customWidth="1"/>
    <col min="12" max="12" width="16" style="7" customWidth="1"/>
    <col min="13" max="13" width="16.5" style="7" customWidth="1"/>
    <col min="14" max="14" width="21.66015625" style="10" customWidth="1"/>
    <col min="15" max="15" width="19.16015625" style="7" customWidth="1"/>
    <col min="16" max="16384" width="9.33203125" style="7" customWidth="1"/>
  </cols>
  <sheetData>
    <row r="1" ht="12.75">
      <c r="M1" s="120" t="s">
        <v>53</v>
      </c>
    </row>
    <row r="2" ht="12.75">
      <c r="M2" s="120" t="s">
        <v>35</v>
      </c>
    </row>
    <row r="3" ht="12.75">
      <c r="M3" s="120" t="s">
        <v>36</v>
      </c>
    </row>
    <row r="4" ht="12.75">
      <c r="M4" s="10"/>
    </row>
    <row r="5" spans="1:14" ht="24.75" customHeight="1">
      <c r="A5" s="185" t="s">
        <v>37</v>
      </c>
      <c r="B5" s="185"/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5"/>
    </row>
    <row r="6" spans="1:14" ht="24" customHeight="1">
      <c r="A6" s="185" t="s">
        <v>0</v>
      </c>
      <c r="B6" s="185"/>
      <c r="C6" s="185"/>
      <c r="D6" s="185"/>
      <c r="E6" s="185"/>
      <c r="F6" s="185"/>
      <c r="G6" s="185"/>
      <c r="H6" s="185"/>
      <c r="I6" s="185"/>
      <c r="J6" s="185"/>
      <c r="K6" s="185"/>
      <c r="L6" s="185"/>
      <c r="M6" s="185"/>
      <c r="N6" s="185"/>
    </row>
    <row r="7" ht="15.75" thickBot="1">
      <c r="N7" s="35" t="s">
        <v>12</v>
      </c>
    </row>
    <row r="8" spans="1:14" ht="33" customHeight="1" thickBot="1">
      <c r="A8" s="179" t="s">
        <v>11</v>
      </c>
      <c r="B8" s="182" t="s">
        <v>23</v>
      </c>
      <c r="C8" s="173" t="s">
        <v>3</v>
      </c>
      <c r="D8" s="173"/>
      <c r="E8" s="173"/>
      <c r="F8" s="173"/>
      <c r="G8" s="173"/>
      <c r="H8" s="173" t="s">
        <v>5</v>
      </c>
      <c r="I8" s="173"/>
      <c r="J8" s="173"/>
      <c r="K8" s="173"/>
      <c r="L8" s="173"/>
      <c r="M8" s="173"/>
      <c r="N8" s="186" t="s">
        <v>2</v>
      </c>
    </row>
    <row r="9" spans="1:14" ht="16.5" customHeight="1" thickBot="1">
      <c r="A9" s="188"/>
      <c r="B9" s="183"/>
      <c r="C9" s="173" t="s">
        <v>4</v>
      </c>
      <c r="D9" s="174" t="s">
        <v>24</v>
      </c>
      <c r="E9" s="173" t="s">
        <v>6</v>
      </c>
      <c r="F9" s="173"/>
      <c r="G9" s="174" t="s">
        <v>27</v>
      </c>
      <c r="H9" s="173" t="s">
        <v>4</v>
      </c>
      <c r="I9" s="174" t="s">
        <v>24</v>
      </c>
      <c r="J9" s="173" t="s">
        <v>6</v>
      </c>
      <c r="K9" s="173"/>
      <c r="L9" s="174" t="s">
        <v>27</v>
      </c>
      <c r="M9" s="174" t="s">
        <v>28</v>
      </c>
      <c r="N9" s="186"/>
    </row>
    <row r="10" spans="1:14" ht="48.75" customHeight="1" thickBot="1">
      <c r="A10" s="188"/>
      <c r="B10" s="184"/>
      <c r="C10" s="173"/>
      <c r="D10" s="174"/>
      <c r="E10" s="65" t="s">
        <v>25</v>
      </c>
      <c r="F10" s="65" t="s">
        <v>26</v>
      </c>
      <c r="G10" s="174"/>
      <c r="H10" s="173"/>
      <c r="I10" s="174"/>
      <c r="J10" s="65" t="s">
        <v>25</v>
      </c>
      <c r="K10" s="65" t="s">
        <v>26</v>
      </c>
      <c r="L10" s="174"/>
      <c r="M10" s="174"/>
      <c r="N10" s="187"/>
    </row>
    <row r="11" spans="1:15" s="20" customFormat="1" ht="13.5" customHeight="1" thickBot="1">
      <c r="A11" s="102">
        <v>1</v>
      </c>
      <c r="B11" s="87">
        <v>2</v>
      </c>
      <c r="C11" s="87">
        <v>3</v>
      </c>
      <c r="D11" s="86">
        <v>4</v>
      </c>
      <c r="E11" s="86">
        <v>5</v>
      </c>
      <c r="F11" s="86">
        <v>6</v>
      </c>
      <c r="G11" s="86">
        <v>7</v>
      </c>
      <c r="H11" s="87">
        <v>8</v>
      </c>
      <c r="I11" s="86">
        <v>9</v>
      </c>
      <c r="J11" s="86">
        <v>10</v>
      </c>
      <c r="K11" s="86">
        <v>11</v>
      </c>
      <c r="L11" s="86">
        <v>12</v>
      </c>
      <c r="M11" s="86">
        <v>13</v>
      </c>
      <c r="N11" s="88" t="s">
        <v>29</v>
      </c>
      <c r="O11" s="69"/>
    </row>
    <row r="12" spans="1:15" s="31" customFormat="1" ht="15.75">
      <c r="A12" s="103" t="s">
        <v>45</v>
      </c>
      <c r="B12" s="104" t="s">
        <v>46</v>
      </c>
      <c r="C12" s="105">
        <f>D12+G12</f>
        <v>393070</v>
      </c>
      <c r="D12" s="105">
        <f>D13</f>
        <v>393070</v>
      </c>
      <c r="E12" s="105">
        <f aca="true" t="shared" si="0" ref="E12:M12">E13</f>
        <v>0</v>
      </c>
      <c r="F12" s="105">
        <f t="shared" si="0"/>
        <v>254870</v>
      </c>
      <c r="G12" s="105">
        <f t="shared" si="0"/>
        <v>0</v>
      </c>
      <c r="H12" s="105">
        <f t="shared" si="0"/>
        <v>0</v>
      </c>
      <c r="I12" s="105">
        <f t="shared" si="0"/>
        <v>0</v>
      </c>
      <c r="J12" s="105">
        <f t="shared" si="0"/>
        <v>0</v>
      </c>
      <c r="K12" s="105">
        <f t="shared" si="0"/>
        <v>0</v>
      </c>
      <c r="L12" s="105">
        <f t="shared" si="0"/>
        <v>0</v>
      </c>
      <c r="M12" s="105">
        <f t="shared" si="0"/>
        <v>0</v>
      </c>
      <c r="N12" s="106">
        <f>C12+H12</f>
        <v>393070</v>
      </c>
      <c r="O12" s="69">
        <f>C12+H12</f>
        <v>393070</v>
      </c>
    </row>
    <row r="13" spans="1:15" s="31" customFormat="1" ht="15.75">
      <c r="A13" s="80" t="s">
        <v>40</v>
      </c>
      <c r="B13" s="82" t="s">
        <v>47</v>
      </c>
      <c r="C13" s="50">
        <f>D13+G13</f>
        <v>393070</v>
      </c>
      <c r="D13" s="67">
        <f>'додаток 3'!D8</f>
        <v>393070</v>
      </c>
      <c r="E13" s="67">
        <f>'додаток 3'!E8</f>
        <v>0</v>
      </c>
      <c r="F13" s="67">
        <f>'додаток 3'!F8</f>
        <v>254870</v>
      </c>
      <c r="G13" s="67">
        <f>'додаток 3'!G8</f>
        <v>0</v>
      </c>
      <c r="H13" s="67">
        <f>'додаток 3'!H8</f>
        <v>0</v>
      </c>
      <c r="I13" s="67">
        <f>'додаток 3'!I8</f>
        <v>0</v>
      </c>
      <c r="J13" s="67">
        <f>'додаток 3'!J8</f>
        <v>0</v>
      </c>
      <c r="K13" s="67">
        <f>'додаток 3'!K8</f>
        <v>0</v>
      </c>
      <c r="L13" s="67">
        <f>'додаток 3'!L8</f>
        <v>0</v>
      </c>
      <c r="M13" s="67">
        <f>'додаток 3'!M8</f>
        <v>0</v>
      </c>
      <c r="N13" s="49">
        <f>H13+C13</f>
        <v>393070</v>
      </c>
      <c r="O13" s="69">
        <f aca="true" t="shared" si="1" ref="O13:O50">C13+H13</f>
        <v>393070</v>
      </c>
    </row>
    <row r="14" spans="1:15" s="31" customFormat="1" ht="15.75">
      <c r="A14" s="73" t="s">
        <v>132</v>
      </c>
      <c r="B14" s="74" t="s">
        <v>133</v>
      </c>
      <c r="C14" s="52">
        <f>D14+G14</f>
        <v>544225</v>
      </c>
      <c r="D14" s="52">
        <f>'додаток 3'!D24-'додаток 3'!D37+'додаток 3'!D39</f>
        <v>495225</v>
      </c>
      <c r="E14" s="52">
        <f>'додаток 3'!E24-'додаток 3'!E37+'додаток 3'!E39</f>
        <v>0</v>
      </c>
      <c r="F14" s="52">
        <f>'додаток 3'!F24-'додаток 3'!F37+'додаток 3'!F39</f>
        <v>401000</v>
      </c>
      <c r="G14" s="52">
        <f>'додаток 3'!G24-'додаток 3'!G37+'додаток 3'!G39</f>
        <v>49000</v>
      </c>
      <c r="H14" s="52">
        <f>'додаток 3'!H24-'додаток 3'!H37+'додаток 3'!H39</f>
        <v>0</v>
      </c>
      <c r="I14" s="52">
        <f>'додаток 3'!I24-'додаток 3'!I37+'додаток 3'!I39</f>
        <v>0</v>
      </c>
      <c r="J14" s="52">
        <f>'додаток 3'!J24-'додаток 3'!J37+'додаток 3'!J39</f>
        <v>0</v>
      </c>
      <c r="K14" s="52">
        <f>'додаток 3'!K24-'додаток 3'!K37+'додаток 3'!K39</f>
        <v>0</v>
      </c>
      <c r="L14" s="52">
        <f>'додаток 3'!L24-'додаток 3'!L37+'додаток 3'!L39</f>
        <v>0</v>
      </c>
      <c r="M14" s="52">
        <f>'додаток 3'!M24-'додаток 3'!M37+'додаток 3'!M39</f>
        <v>0</v>
      </c>
      <c r="N14" s="53">
        <f>H14+C14</f>
        <v>544225</v>
      </c>
      <c r="O14" s="69">
        <f t="shared" si="1"/>
        <v>544225</v>
      </c>
    </row>
    <row r="15" spans="1:15" s="31" customFormat="1" ht="15.75">
      <c r="A15" s="73" t="s">
        <v>134</v>
      </c>
      <c r="B15" s="74" t="s">
        <v>135</v>
      </c>
      <c r="C15" s="52">
        <f>D15+G15</f>
        <v>4258995</v>
      </c>
      <c r="D15" s="52">
        <f>'додаток 3'!D38-'додаток 3'!D39</f>
        <v>3280100</v>
      </c>
      <c r="E15" s="52">
        <f>'додаток 3'!E38-'додаток 3'!E39</f>
        <v>547300</v>
      </c>
      <c r="F15" s="52">
        <f>'додаток 3'!F38-'додаток 3'!F39</f>
        <v>1783100</v>
      </c>
      <c r="G15" s="52">
        <f>'додаток 3'!G38-'додаток 3'!G39</f>
        <v>978895</v>
      </c>
      <c r="H15" s="52">
        <f>'додаток 3'!H38-'додаток 3'!H39</f>
        <v>0</v>
      </c>
      <c r="I15" s="52">
        <f>'додаток 3'!I38-'додаток 3'!I39</f>
        <v>0</v>
      </c>
      <c r="J15" s="52">
        <f>'додаток 3'!J38-'додаток 3'!J39</f>
        <v>0</v>
      </c>
      <c r="K15" s="52">
        <f>'додаток 3'!K38-'додаток 3'!K39</f>
        <v>0</v>
      </c>
      <c r="L15" s="52">
        <f>'додаток 3'!L38-'додаток 3'!L39</f>
        <v>0</v>
      </c>
      <c r="M15" s="52">
        <f>'додаток 3'!M38-'додаток 3'!M39</f>
        <v>0</v>
      </c>
      <c r="N15" s="53">
        <f>H15+C15</f>
        <v>4258995</v>
      </c>
      <c r="O15" s="69">
        <f t="shared" si="1"/>
        <v>4258995</v>
      </c>
    </row>
    <row r="16" spans="1:15" s="32" customFormat="1" ht="33" customHeight="1">
      <c r="A16" s="73" t="s">
        <v>1</v>
      </c>
      <c r="B16" s="74" t="s">
        <v>7</v>
      </c>
      <c r="C16" s="52">
        <f>D16+G16</f>
        <v>1409644</v>
      </c>
      <c r="D16" s="52">
        <f>'додаток 3'!D58+'додаток 3'!D66-'додаток 3'!D74+'додаток 3'!D76</f>
        <v>944744</v>
      </c>
      <c r="E16" s="52">
        <f>'додаток 3'!E58+'додаток 3'!E66-'додаток 3'!E74+'додаток 3'!E76</f>
        <v>78300</v>
      </c>
      <c r="F16" s="52">
        <f>'додаток 3'!F58+'додаток 3'!F66-'додаток 3'!F74+'додаток 3'!F76</f>
        <v>477700</v>
      </c>
      <c r="G16" s="52">
        <f>'додаток 3'!G58+'додаток 3'!G66-'додаток 3'!G74+'додаток 3'!G76</f>
        <v>464900</v>
      </c>
      <c r="H16" s="52">
        <f>'додаток 3'!H58+'додаток 3'!H66-'додаток 3'!H74+'додаток 3'!H76</f>
        <v>0</v>
      </c>
      <c r="I16" s="52">
        <f>'додаток 3'!I58+'додаток 3'!I66-'додаток 3'!I74+'додаток 3'!I76</f>
        <v>0</v>
      </c>
      <c r="J16" s="52">
        <f>'додаток 3'!J58+'додаток 3'!J66-'додаток 3'!J74+'додаток 3'!J76</f>
        <v>0</v>
      </c>
      <c r="K16" s="52">
        <f>'додаток 3'!K58+'додаток 3'!K66-'додаток 3'!K74+'додаток 3'!K76</f>
        <v>0</v>
      </c>
      <c r="L16" s="52">
        <f>'додаток 3'!L58+'додаток 3'!L66-'додаток 3'!L74+'додаток 3'!L76</f>
        <v>0</v>
      </c>
      <c r="M16" s="52">
        <f>'додаток 3'!M58+'додаток 3'!M66-'додаток 3'!M74+'додаток 3'!M76</f>
        <v>0</v>
      </c>
      <c r="N16" s="53">
        <f>H16+C16</f>
        <v>1409644</v>
      </c>
      <c r="O16" s="69">
        <f t="shared" si="1"/>
        <v>1409644</v>
      </c>
    </row>
    <row r="17" spans="1:15" s="32" customFormat="1" ht="18" customHeight="1">
      <c r="A17" s="73">
        <v>110000</v>
      </c>
      <c r="B17" s="74" t="s">
        <v>136</v>
      </c>
      <c r="C17" s="54">
        <f aca="true" t="shared" si="2" ref="C17:C34">D17+G17</f>
        <v>851600</v>
      </c>
      <c r="D17" s="54">
        <f>'додаток 3'!D82-'додаток 3'!D90</f>
        <v>702000</v>
      </c>
      <c r="E17" s="54">
        <f>'додаток 3'!E82-'додаток 3'!E90</f>
        <v>0</v>
      </c>
      <c r="F17" s="54">
        <f>'додаток 3'!F82-'додаток 3'!F90</f>
        <v>167500</v>
      </c>
      <c r="G17" s="54">
        <f>'додаток 3'!G82-'додаток 3'!G90</f>
        <v>149600</v>
      </c>
      <c r="H17" s="54">
        <f>'додаток 3'!H82-'додаток 3'!H90</f>
        <v>0</v>
      </c>
      <c r="I17" s="54">
        <f>'додаток 3'!I82-'додаток 3'!I90</f>
        <v>0</v>
      </c>
      <c r="J17" s="54">
        <f>'додаток 3'!J82-'додаток 3'!J90</f>
        <v>0</v>
      </c>
      <c r="K17" s="54">
        <f>'додаток 3'!K82-'додаток 3'!K90</f>
        <v>0</v>
      </c>
      <c r="L17" s="54">
        <f>'додаток 3'!L82-'додаток 3'!L90</f>
        <v>0</v>
      </c>
      <c r="M17" s="54">
        <f>'додаток 3'!M82-'додаток 3'!M90</f>
        <v>0</v>
      </c>
      <c r="N17" s="154">
        <f>C17+H17</f>
        <v>851600</v>
      </c>
      <c r="O17" s="69">
        <f t="shared" si="1"/>
        <v>851600</v>
      </c>
    </row>
    <row r="18" spans="1:15" s="32" customFormat="1" ht="15.75">
      <c r="A18" s="73">
        <v>130000</v>
      </c>
      <c r="B18" s="74" t="s">
        <v>137</v>
      </c>
      <c r="C18" s="54">
        <f t="shared" si="2"/>
        <v>426000</v>
      </c>
      <c r="D18" s="54">
        <f>'додаток 3'!D37+'додаток 3'!D92</f>
        <v>200000</v>
      </c>
      <c r="E18" s="54">
        <f>'додаток 3'!E37+'додаток 3'!E92</f>
        <v>0</v>
      </c>
      <c r="F18" s="54">
        <f>'додаток 3'!F37+'додаток 3'!F92</f>
        <v>7000</v>
      </c>
      <c r="G18" s="54">
        <f>'додаток 3'!G37+'додаток 3'!G92</f>
        <v>226000</v>
      </c>
      <c r="H18" s="54">
        <f>'додаток 3'!H37+'додаток 3'!H92</f>
        <v>0</v>
      </c>
      <c r="I18" s="54">
        <f>'додаток 3'!I37+'додаток 3'!I92</f>
        <v>0</v>
      </c>
      <c r="J18" s="54">
        <f>'додаток 3'!J37+'додаток 3'!J92</f>
        <v>0</v>
      </c>
      <c r="K18" s="54">
        <f>'додаток 3'!K37+'додаток 3'!K92</f>
        <v>0</v>
      </c>
      <c r="L18" s="54">
        <f>'додаток 3'!L37+'додаток 3'!L92</f>
        <v>0</v>
      </c>
      <c r="M18" s="54">
        <f>'додаток 3'!M37+'додаток 3'!M92</f>
        <v>0</v>
      </c>
      <c r="N18" s="154">
        <f>C18+H18</f>
        <v>426000</v>
      </c>
      <c r="O18" s="69">
        <f t="shared" si="1"/>
        <v>426000</v>
      </c>
    </row>
    <row r="19" spans="1:15" s="32" customFormat="1" ht="15.75">
      <c r="A19" s="73">
        <v>150000</v>
      </c>
      <c r="B19" s="74" t="s">
        <v>60</v>
      </c>
      <c r="C19" s="54">
        <f t="shared" si="2"/>
        <v>0</v>
      </c>
      <c r="D19" s="54">
        <f>D20</f>
        <v>0</v>
      </c>
      <c r="E19" s="54">
        <f aca="true" t="shared" si="3" ref="E19:M19">E20</f>
        <v>0</v>
      </c>
      <c r="F19" s="54">
        <f t="shared" si="3"/>
        <v>0</v>
      </c>
      <c r="G19" s="54">
        <f t="shared" si="3"/>
        <v>0</v>
      </c>
      <c r="H19" s="54">
        <f t="shared" si="3"/>
        <v>1860000</v>
      </c>
      <c r="I19" s="54">
        <f t="shared" si="3"/>
        <v>0</v>
      </c>
      <c r="J19" s="54">
        <f t="shared" si="3"/>
        <v>0</v>
      </c>
      <c r="K19" s="54">
        <f t="shared" si="3"/>
        <v>0</v>
      </c>
      <c r="L19" s="54">
        <f t="shared" si="3"/>
        <v>1860000</v>
      </c>
      <c r="M19" s="54">
        <f t="shared" si="3"/>
        <v>1860000</v>
      </c>
      <c r="N19" s="154">
        <f>C19+H19</f>
        <v>1860000</v>
      </c>
      <c r="O19" s="69">
        <f t="shared" si="1"/>
        <v>1860000</v>
      </c>
    </row>
    <row r="20" spans="1:15" s="32" customFormat="1" ht="15.75">
      <c r="A20" s="80">
        <v>150101</v>
      </c>
      <c r="B20" s="81" t="s">
        <v>55</v>
      </c>
      <c r="C20" s="78">
        <f t="shared" si="2"/>
        <v>0</v>
      </c>
      <c r="D20" s="66">
        <f>'додаток 3'!D103</f>
        <v>0</v>
      </c>
      <c r="E20" s="66">
        <f>'додаток 3'!E103</f>
        <v>0</v>
      </c>
      <c r="F20" s="66">
        <f>'додаток 3'!F103</f>
        <v>0</v>
      </c>
      <c r="G20" s="66">
        <f>'додаток 3'!G103</f>
        <v>0</v>
      </c>
      <c r="H20" s="157">
        <f>'додаток 3'!H103</f>
        <v>1860000</v>
      </c>
      <c r="I20" s="66">
        <f>'додаток 3'!I103</f>
        <v>0</v>
      </c>
      <c r="J20" s="66">
        <f>'додаток 3'!J103</f>
        <v>0</v>
      </c>
      <c r="K20" s="66">
        <f>'додаток 3'!K103</f>
        <v>0</v>
      </c>
      <c r="L20" s="66">
        <f>'додаток 3'!L103</f>
        <v>1860000</v>
      </c>
      <c r="M20" s="66">
        <f>'додаток 3'!M103</f>
        <v>1860000</v>
      </c>
      <c r="N20" s="49">
        <f>C20+H20</f>
        <v>1860000</v>
      </c>
      <c r="O20" s="69">
        <f t="shared" si="1"/>
        <v>1860000</v>
      </c>
    </row>
    <row r="21" spans="1:15" s="32" customFormat="1" ht="50.25" customHeight="1">
      <c r="A21" s="73">
        <v>170000</v>
      </c>
      <c r="B21" s="74" t="s">
        <v>48</v>
      </c>
      <c r="C21" s="52">
        <f t="shared" si="2"/>
        <v>0</v>
      </c>
      <c r="D21" s="54">
        <f>D22</f>
        <v>0</v>
      </c>
      <c r="E21" s="54">
        <f aca="true" t="shared" si="4" ref="E21:M21">E22</f>
        <v>0</v>
      </c>
      <c r="F21" s="54">
        <f t="shared" si="4"/>
        <v>0</v>
      </c>
      <c r="G21" s="54">
        <f t="shared" si="4"/>
        <v>0</v>
      </c>
      <c r="H21" s="54">
        <f t="shared" si="4"/>
        <v>-570927</v>
      </c>
      <c r="I21" s="54">
        <f t="shared" si="4"/>
        <v>-272727</v>
      </c>
      <c r="J21" s="54">
        <f t="shared" si="4"/>
        <v>0</v>
      </c>
      <c r="K21" s="54">
        <f t="shared" si="4"/>
        <v>0</v>
      </c>
      <c r="L21" s="54">
        <f t="shared" si="4"/>
        <v>-298200</v>
      </c>
      <c r="M21" s="54">
        <f t="shared" si="4"/>
        <v>0</v>
      </c>
      <c r="N21" s="53">
        <f>H21+C21</f>
        <v>-570927</v>
      </c>
      <c r="O21" s="69">
        <f t="shared" si="1"/>
        <v>-570927</v>
      </c>
    </row>
    <row r="22" spans="1:15" ht="63">
      <c r="A22" s="80">
        <v>170703</v>
      </c>
      <c r="B22" s="81" t="s">
        <v>49</v>
      </c>
      <c r="C22" s="50">
        <f t="shared" si="2"/>
        <v>0</v>
      </c>
      <c r="D22" s="67">
        <f>'додаток 3'!D102</f>
        <v>0</v>
      </c>
      <c r="E22" s="67">
        <f>'додаток 3'!E102</f>
        <v>0</v>
      </c>
      <c r="F22" s="67">
        <f>'додаток 3'!F102</f>
        <v>0</v>
      </c>
      <c r="G22" s="67">
        <f>'додаток 3'!G102</f>
        <v>0</v>
      </c>
      <c r="H22" s="158">
        <f>'додаток 3'!H102</f>
        <v>-570927</v>
      </c>
      <c r="I22" s="67">
        <f>'додаток 3'!I102</f>
        <v>-272727</v>
      </c>
      <c r="J22" s="67">
        <f>'додаток 3'!J102</f>
        <v>0</v>
      </c>
      <c r="K22" s="67">
        <f>'додаток 3'!K102</f>
        <v>0</v>
      </c>
      <c r="L22" s="67">
        <f>'додаток 3'!L102</f>
        <v>-298200</v>
      </c>
      <c r="M22" s="67">
        <f>'додаток 3'!M102</f>
        <v>0</v>
      </c>
      <c r="N22" s="49">
        <f>H22+C22</f>
        <v>-570927</v>
      </c>
      <c r="O22" s="69">
        <f t="shared" si="1"/>
        <v>-570927</v>
      </c>
    </row>
    <row r="23" spans="1:15" ht="31.5">
      <c r="A23" s="151">
        <v>180000</v>
      </c>
      <c r="B23" s="152" t="s">
        <v>212</v>
      </c>
      <c r="C23" s="52">
        <f t="shared" si="2"/>
        <v>143000</v>
      </c>
      <c r="D23" s="52">
        <f>D24+D25</f>
        <v>143000</v>
      </c>
      <c r="E23" s="52">
        <f aca="true" t="shared" si="5" ref="E23:M23">E24+E25</f>
        <v>0</v>
      </c>
      <c r="F23" s="52">
        <f t="shared" si="5"/>
        <v>0</v>
      </c>
      <c r="G23" s="52">
        <f t="shared" si="5"/>
        <v>0</v>
      </c>
      <c r="H23" s="52">
        <f t="shared" si="5"/>
        <v>517000</v>
      </c>
      <c r="I23" s="52">
        <f t="shared" si="5"/>
        <v>0</v>
      </c>
      <c r="J23" s="52">
        <f t="shared" si="5"/>
        <v>0</v>
      </c>
      <c r="K23" s="52">
        <f t="shared" si="5"/>
        <v>0</v>
      </c>
      <c r="L23" s="52">
        <f t="shared" si="5"/>
        <v>517000</v>
      </c>
      <c r="M23" s="52">
        <f t="shared" si="5"/>
        <v>517000</v>
      </c>
      <c r="N23" s="53">
        <f>C23+H23</f>
        <v>660000</v>
      </c>
      <c r="O23" s="69">
        <f t="shared" si="1"/>
        <v>660000</v>
      </c>
    </row>
    <row r="24" spans="1:15" ht="82.5" customHeight="1">
      <c r="A24" s="75" t="s">
        <v>82</v>
      </c>
      <c r="B24" s="77" t="s">
        <v>83</v>
      </c>
      <c r="C24" s="50">
        <f t="shared" si="2"/>
        <v>0</v>
      </c>
      <c r="D24" s="67">
        <f>'додаток 3'!D9+'додаток 3'!D100</f>
        <v>0</v>
      </c>
      <c r="E24" s="67">
        <f>'додаток 3'!E9+'додаток 3'!E100</f>
        <v>0</v>
      </c>
      <c r="F24" s="67">
        <f>'додаток 3'!F9+'додаток 3'!F100</f>
        <v>0</v>
      </c>
      <c r="G24" s="67">
        <f>'додаток 3'!G9+'додаток 3'!G100</f>
        <v>0</v>
      </c>
      <c r="H24" s="158">
        <f>'додаток 3'!H9+'додаток 3'!H100</f>
        <v>517000</v>
      </c>
      <c r="I24" s="67">
        <f>'додаток 3'!I9+'додаток 3'!I100</f>
        <v>0</v>
      </c>
      <c r="J24" s="67">
        <f>'додаток 3'!J9+'додаток 3'!J100</f>
        <v>0</v>
      </c>
      <c r="K24" s="67">
        <f>'додаток 3'!K9+'додаток 3'!K100</f>
        <v>0</v>
      </c>
      <c r="L24" s="67">
        <f>'додаток 3'!L9+'додаток 3'!L100</f>
        <v>517000</v>
      </c>
      <c r="M24" s="67">
        <f>'додаток 3'!M9+'додаток 3'!M100</f>
        <v>517000</v>
      </c>
      <c r="N24" s="49">
        <f>H24+C24</f>
        <v>517000</v>
      </c>
      <c r="O24" s="69">
        <f t="shared" si="1"/>
        <v>517000</v>
      </c>
    </row>
    <row r="25" spans="1:15" ht="31.5">
      <c r="A25" s="75" t="s">
        <v>69</v>
      </c>
      <c r="B25" s="136" t="s">
        <v>70</v>
      </c>
      <c r="C25" s="50">
        <f t="shared" si="2"/>
        <v>143000</v>
      </c>
      <c r="D25" s="67">
        <f>D26+D27</f>
        <v>143000</v>
      </c>
      <c r="E25" s="67">
        <f aca="true" t="shared" si="6" ref="E25:M25">E26+E27</f>
        <v>0</v>
      </c>
      <c r="F25" s="67">
        <f t="shared" si="6"/>
        <v>0</v>
      </c>
      <c r="G25" s="67">
        <f t="shared" si="6"/>
        <v>0</v>
      </c>
      <c r="H25" s="67">
        <f t="shared" si="6"/>
        <v>0</v>
      </c>
      <c r="I25" s="67">
        <f t="shared" si="6"/>
        <v>0</v>
      </c>
      <c r="J25" s="67">
        <f t="shared" si="6"/>
        <v>0</v>
      </c>
      <c r="K25" s="67">
        <f t="shared" si="6"/>
        <v>0</v>
      </c>
      <c r="L25" s="67">
        <f t="shared" si="6"/>
        <v>0</v>
      </c>
      <c r="M25" s="67">
        <f t="shared" si="6"/>
        <v>0</v>
      </c>
      <c r="N25" s="49">
        <f>H25+C25</f>
        <v>143000</v>
      </c>
      <c r="O25" s="69">
        <f t="shared" si="1"/>
        <v>143000</v>
      </c>
    </row>
    <row r="26" spans="1:15" ht="47.25">
      <c r="A26" s="141" t="s">
        <v>30</v>
      </c>
      <c r="B26" s="136" t="s">
        <v>71</v>
      </c>
      <c r="C26" s="50">
        <f t="shared" si="2"/>
        <v>45000</v>
      </c>
      <c r="D26" s="67">
        <f>'додаток 3'!D23</f>
        <v>45000</v>
      </c>
      <c r="E26" s="67">
        <f>'додаток 3'!E23</f>
        <v>0</v>
      </c>
      <c r="F26" s="67">
        <f>'додаток 3'!F23</f>
        <v>0</v>
      </c>
      <c r="G26" s="67">
        <f>'додаток 3'!G23</f>
        <v>0</v>
      </c>
      <c r="H26" s="67">
        <f>'додаток 3'!H23</f>
        <v>0</v>
      </c>
      <c r="I26" s="67">
        <f>'додаток 3'!I23</f>
        <v>0</v>
      </c>
      <c r="J26" s="67">
        <f>'додаток 3'!J23</f>
        <v>0</v>
      </c>
      <c r="K26" s="67">
        <f>'додаток 3'!K23</f>
        <v>0</v>
      </c>
      <c r="L26" s="67">
        <f>'додаток 3'!L23</f>
        <v>0</v>
      </c>
      <c r="M26" s="67">
        <f>'додаток 3'!M23</f>
        <v>0</v>
      </c>
      <c r="N26" s="49">
        <f>H26+C26</f>
        <v>45000</v>
      </c>
      <c r="O26" s="69">
        <f t="shared" si="1"/>
        <v>45000</v>
      </c>
    </row>
    <row r="27" spans="1:15" ht="105">
      <c r="A27" s="141"/>
      <c r="B27" s="145" t="s">
        <v>77</v>
      </c>
      <c r="C27" s="50">
        <f t="shared" si="2"/>
        <v>98000</v>
      </c>
      <c r="D27" s="67">
        <f>'додаток 3'!D79</f>
        <v>98000</v>
      </c>
      <c r="E27" s="67">
        <f>'додаток 3'!E79</f>
        <v>0</v>
      </c>
      <c r="F27" s="67">
        <f>'додаток 3'!F79</f>
        <v>0</v>
      </c>
      <c r="G27" s="67">
        <f>'додаток 3'!G79</f>
        <v>0</v>
      </c>
      <c r="H27" s="67">
        <f>'додаток 3'!H79</f>
        <v>0</v>
      </c>
      <c r="I27" s="67">
        <f>'додаток 3'!I79</f>
        <v>0</v>
      </c>
      <c r="J27" s="67">
        <f>'додаток 3'!J79</f>
        <v>0</v>
      </c>
      <c r="K27" s="67">
        <f>'додаток 3'!K79</f>
        <v>0</v>
      </c>
      <c r="L27" s="67">
        <f>'додаток 3'!L79</f>
        <v>0</v>
      </c>
      <c r="M27" s="67">
        <f>'додаток 3'!M79</f>
        <v>0</v>
      </c>
      <c r="N27" s="49">
        <f>H27+C27</f>
        <v>98000</v>
      </c>
      <c r="O27" s="69">
        <f t="shared" si="1"/>
        <v>98000</v>
      </c>
    </row>
    <row r="28" spans="1:15" ht="47.25">
      <c r="A28" s="73">
        <v>210000</v>
      </c>
      <c r="B28" s="74" t="s">
        <v>213</v>
      </c>
      <c r="C28" s="52">
        <f t="shared" si="2"/>
        <v>90000</v>
      </c>
      <c r="D28" s="54">
        <f>D29</f>
        <v>90000</v>
      </c>
      <c r="E28" s="54">
        <f aca="true" t="shared" si="7" ref="E28:M28">E29</f>
        <v>0</v>
      </c>
      <c r="F28" s="54">
        <f t="shared" si="7"/>
        <v>0</v>
      </c>
      <c r="G28" s="54">
        <f t="shared" si="7"/>
        <v>0</v>
      </c>
      <c r="H28" s="54">
        <f t="shared" si="7"/>
        <v>0</v>
      </c>
      <c r="I28" s="54">
        <f t="shared" si="7"/>
        <v>0</v>
      </c>
      <c r="J28" s="54">
        <f t="shared" si="7"/>
        <v>0</v>
      </c>
      <c r="K28" s="54">
        <f t="shared" si="7"/>
        <v>0</v>
      </c>
      <c r="L28" s="54">
        <f t="shared" si="7"/>
        <v>0</v>
      </c>
      <c r="M28" s="54">
        <f t="shared" si="7"/>
        <v>0</v>
      </c>
      <c r="N28" s="53">
        <f>H28+C28</f>
        <v>90000</v>
      </c>
      <c r="O28" s="69">
        <f t="shared" si="1"/>
        <v>90000</v>
      </c>
    </row>
    <row r="29" spans="1:15" ht="30">
      <c r="A29" s="80">
        <v>210110</v>
      </c>
      <c r="B29" s="82" t="s">
        <v>75</v>
      </c>
      <c r="C29" s="50">
        <f t="shared" si="2"/>
        <v>90000</v>
      </c>
      <c r="D29" s="67">
        <f>'додаток 3'!D80</f>
        <v>90000</v>
      </c>
      <c r="E29" s="67">
        <f>'додаток 3'!E80</f>
        <v>0</v>
      </c>
      <c r="F29" s="67">
        <f>'додаток 3'!F80</f>
        <v>0</v>
      </c>
      <c r="G29" s="67">
        <f>'додаток 3'!G80</f>
        <v>0</v>
      </c>
      <c r="H29" s="67">
        <f>'додаток 3'!H80</f>
        <v>0</v>
      </c>
      <c r="I29" s="67">
        <f>'додаток 3'!I80</f>
        <v>0</v>
      </c>
      <c r="J29" s="67">
        <f>'додаток 3'!J80</f>
        <v>0</v>
      </c>
      <c r="K29" s="67">
        <f>'додаток 3'!K80</f>
        <v>0</v>
      </c>
      <c r="L29" s="67">
        <f>'додаток 3'!L80</f>
        <v>0</v>
      </c>
      <c r="M29" s="67">
        <f>'додаток 3'!M80</f>
        <v>0</v>
      </c>
      <c r="N29" s="49">
        <f aca="true" t="shared" si="8" ref="N29:N34">C29+H29</f>
        <v>90000</v>
      </c>
      <c r="O29" s="69">
        <f t="shared" si="1"/>
        <v>90000</v>
      </c>
    </row>
    <row r="30" spans="1:16" s="33" customFormat="1" ht="31.5" customHeight="1">
      <c r="A30" s="73" t="s">
        <v>61</v>
      </c>
      <c r="B30" s="74" t="s">
        <v>62</v>
      </c>
      <c r="C30" s="52">
        <f>C31+C32+C33+C35+C41</f>
        <v>2445200</v>
      </c>
      <c r="D30" s="52">
        <f aca="true" t="shared" si="9" ref="D30:M30">D31+D32+D33+D35+D41</f>
        <v>174000</v>
      </c>
      <c r="E30" s="52">
        <f t="shared" si="9"/>
        <v>1446</v>
      </c>
      <c r="F30" s="52">
        <f t="shared" si="9"/>
        <v>0</v>
      </c>
      <c r="G30" s="52">
        <f t="shared" si="9"/>
        <v>2321200</v>
      </c>
      <c r="H30" s="52">
        <f t="shared" si="9"/>
        <v>0</v>
      </c>
      <c r="I30" s="52">
        <f t="shared" si="9"/>
        <v>0</v>
      </c>
      <c r="J30" s="52">
        <f t="shared" si="9"/>
        <v>0</v>
      </c>
      <c r="K30" s="52">
        <f t="shared" si="9"/>
        <v>0</v>
      </c>
      <c r="L30" s="52">
        <f t="shared" si="9"/>
        <v>0</v>
      </c>
      <c r="M30" s="52">
        <f t="shared" si="9"/>
        <v>0</v>
      </c>
      <c r="N30" s="53">
        <f t="shared" si="8"/>
        <v>2445200</v>
      </c>
      <c r="O30" s="69">
        <f t="shared" si="1"/>
        <v>2445200</v>
      </c>
      <c r="P30" s="35"/>
    </row>
    <row r="31" spans="1:16" s="33" customFormat="1" ht="18" customHeight="1">
      <c r="A31" s="155" t="s">
        <v>235</v>
      </c>
      <c r="B31" s="166" t="s">
        <v>234</v>
      </c>
      <c r="C31" s="50">
        <v>-50000</v>
      </c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49">
        <f t="shared" si="8"/>
        <v>-50000</v>
      </c>
      <c r="O31" s="69">
        <f t="shared" si="1"/>
        <v>-50000</v>
      </c>
      <c r="P31" s="35"/>
    </row>
    <row r="32" spans="1:16" s="33" customFormat="1" ht="66" customHeight="1">
      <c r="A32" s="75" t="s">
        <v>58</v>
      </c>
      <c r="B32" s="126" t="s">
        <v>59</v>
      </c>
      <c r="C32" s="50">
        <f t="shared" si="2"/>
        <v>2214000</v>
      </c>
      <c r="D32" s="50">
        <f>'додаток 3'!D105</f>
        <v>0</v>
      </c>
      <c r="E32" s="50">
        <f>'додаток 3'!E105</f>
        <v>0</v>
      </c>
      <c r="F32" s="50">
        <f>'додаток 3'!F105</f>
        <v>0</v>
      </c>
      <c r="G32" s="67">
        <f>'додаток 3'!G105</f>
        <v>2214000</v>
      </c>
      <c r="H32" s="50">
        <f>'додаток 3'!H105</f>
        <v>0</v>
      </c>
      <c r="I32" s="50">
        <f>'додаток 3'!I105</f>
        <v>0</v>
      </c>
      <c r="J32" s="50">
        <f>'додаток 3'!J105</f>
        <v>0</v>
      </c>
      <c r="K32" s="50">
        <f>'додаток 3'!K105</f>
        <v>0</v>
      </c>
      <c r="L32" s="50">
        <f>'додаток 3'!L105</f>
        <v>0</v>
      </c>
      <c r="M32" s="50">
        <f>'додаток 3'!M105</f>
        <v>0</v>
      </c>
      <c r="N32" s="49">
        <f t="shared" si="8"/>
        <v>2214000</v>
      </c>
      <c r="O32" s="69">
        <f t="shared" si="1"/>
        <v>2214000</v>
      </c>
      <c r="P32" s="35"/>
    </row>
    <row r="33" spans="1:16" s="33" customFormat="1" ht="61.5" customHeight="1">
      <c r="A33" s="131" t="s">
        <v>124</v>
      </c>
      <c r="B33" s="79" t="s">
        <v>125</v>
      </c>
      <c r="C33" s="50">
        <f t="shared" si="2"/>
        <v>349000</v>
      </c>
      <c r="D33" s="50">
        <f>'додаток 3'!D15</f>
        <v>0</v>
      </c>
      <c r="E33" s="50">
        <f>'додаток 3'!E15</f>
        <v>0</v>
      </c>
      <c r="F33" s="50">
        <f>'додаток 3'!F15</f>
        <v>0</v>
      </c>
      <c r="G33" s="67">
        <f>'додаток 3'!G15</f>
        <v>349000</v>
      </c>
      <c r="H33" s="50">
        <f>'додаток 3'!H15</f>
        <v>0</v>
      </c>
      <c r="I33" s="50">
        <f>'додаток 3'!I15</f>
        <v>0</v>
      </c>
      <c r="J33" s="50">
        <f>'додаток 3'!J15</f>
        <v>0</v>
      </c>
      <c r="K33" s="50">
        <f>'додаток 3'!K15</f>
        <v>0</v>
      </c>
      <c r="L33" s="50">
        <f>'додаток 3'!L15</f>
        <v>0</v>
      </c>
      <c r="M33" s="50">
        <f>'додаток 3'!M15</f>
        <v>0</v>
      </c>
      <c r="N33" s="49">
        <f t="shared" si="8"/>
        <v>349000</v>
      </c>
      <c r="O33" s="69">
        <f t="shared" si="1"/>
        <v>349000</v>
      </c>
      <c r="P33" s="35"/>
    </row>
    <row r="34" spans="1:16" s="33" customFormat="1" ht="47.25" customHeight="1">
      <c r="A34" s="131" t="s">
        <v>30</v>
      </c>
      <c r="B34" s="79" t="s">
        <v>126</v>
      </c>
      <c r="C34" s="50">
        <f t="shared" si="2"/>
        <v>349000</v>
      </c>
      <c r="D34" s="67">
        <f>'додаток 3'!D16</f>
        <v>0</v>
      </c>
      <c r="E34" s="67">
        <f>'додаток 3'!E16</f>
        <v>0</v>
      </c>
      <c r="F34" s="67">
        <f>'додаток 3'!F16</f>
        <v>0</v>
      </c>
      <c r="G34" s="67">
        <f>'додаток 3'!G16</f>
        <v>349000</v>
      </c>
      <c r="H34" s="67">
        <f>'додаток 3'!H16</f>
        <v>0</v>
      </c>
      <c r="I34" s="67">
        <f>'додаток 3'!I16</f>
        <v>0</v>
      </c>
      <c r="J34" s="67">
        <f>'додаток 3'!J16</f>
        <v>0</v>
      </c>
      <c r="K34" s="67">
        <f>'додаток 3'!K16</f>
        <v>0</v>
      </c>
      <c r="L34" s="67">
        <f>'додаток 3'!L16</f>
        <v>0</v>
      </c>
      <c r="M34" s="67">
        <f>'додаток 3'!M16</f>
        <v>0</v>
      </c>
      <c r="N34" s="49">
        <f t="shared" si="8"/>
        <v>349000</v>
      </c>
      <c r="O34" s="69">
        <f t="shared" si="1"/>
        <v>349000</v>
      </c>
      <c r="P34" s="35"/>
    </row>
    <row r="35" spans="1:16" s="33" customFormat="1" ht="20.25" customHeight="1">
      <c r="A35" s="75" t="s">
        <v>94</v>
      </c>
      <c r="B35" s="76" t="s">
        <v>95</v>
      </c>
      <c r="C35" s="50">
        <f aca="true" t="shared" si="10" ref="C35:C41">D35+G35</f>
        <v>-79800</v>
      </c>
      <c r="D35" s="67">
        <f>D36+D37+D38+D39+D40</f>
        <v>162000</v>
      </c>
      <c r="E35" s="67">
        <f aca="true" t="shared" si="11" ref="E35:M35">E36+E37+E38+E39+E40</f>
        <v>1446</v>
      </c>
      <c r="F35" s="67">
        <f t="shared" si="11"/>
        <v>0</v>
      </c>
      <c r="G35" s="67">
        <f t="shared" si="11"/>
        <v>-241800</v>
      </c>
      <c r="H35" s="67">
        <f t="shared" si="11"/>
        <v>0</v>
      </c>
      <c r="I35" s="67">
        <f t="shared" si="11"/>
        <v>0</v>
      </c>
      <c r="J35" s="67">
        <f t="shared" si="11"/>
        <v>0</v>
      </c>
      <c r="K35" s="67">
        <f t="shared" si="11"/>
        <v>0</v>
      </c>
      <c r="L35" s="67">
        <f t="shared" si="11"/>
        <v>0</v>
      </c>
      <c r="M35" s="67">
        <f t="shared" si="11"/>
        <v>0</v>
      </c>
      <c r="N35" s="49">
        <f aca="true" t="shared" si="12" ref="N35:N41">C35+H35</f>
        <v>-79800</v>
      </c>
      <c r="O35" s="69">
        <f t="shared" si="1"/>
        <v>-79800</v>
      </c>
      <c r="P35" s="35"/>
    </row>
    <row r="36" spans="1:16" s="33" customFormat="1" ht="30" customHeight="1">
      <c r="A36" s="75" t="s">
        <v>30</v>
      </c>
      <c r="B36" s="139" t="s">
        <v>118</v>
      </c>
      <c r="C36" s="50">
        <f t="shared" si="10"/>
        <v>412000</v>
      </c>
      <c r="D36" s="67">
        <f>'додаток 3'!D14</f>
        <v>50000</v>
      </c>
      <c r="E36" s="67">
        <f>'додаток 3'!E14</f>
        <v>0</v>
      </c>
      <c r="F36" s="67">
        <f>'додаток 3'!F14</f>
        <v>0</v>
      </c>
      <c r="G36" s="67">
        <f>'додаток 3'!G14</f>
        <v>362000</v>
      </c>
      <c r="H36" s="67">
        <f>'додаток 3'!H14</f>
        <v>0</v>
      </c>
      <c r="I36" s="67">
        <f>'додаток 3'!I14</f>
        <v>0</v>
      </c>
      <c r="J36" s="67">
        <f>'додаток 3'!J14</f>
        <v>0</v>
      </c>
      <c r="K36" s="67">
        <f>'додаток 3'!K14</f>
        <v>0</v>
      </c>
      <c r="L36" s="67">
        <f>'додаток 3'!L14</f>
        <v>0</v>
      </c>
      <c r="M36" s="67">
        <f>'додаток 3'!M14</f>
        <v>0</v>
      </c>
      <c r="N36" s="49">
        <f t="shared" si="12"/>
        <v>412000</v>
      </c>
      <c r="O36" s="69">
        <f t="shared" si="1"/>
        <v>412000</v>
      </c>
      <c r="P36" s="35"/>
    </row>
    <row r="37" spans="1:16" s="33" customFormat="1" ht="46.5" customHeight="1">
      <c r="A37" s="75"/>
      <c r="B37" s="137" t="s">
        <v>123</v>
      </c>
      <c r="C37" s="50">
        <f t="shared" si="10"/>
        <v>2000</v>
      </c>
      <c r="D37" s="67">
        <f>'додаток 3'!D19</f>
        <v>2000</v>
      </c>
      <c r="E37" s="67">
        <f>'додаток 3'!E19</f>
        <v>1446</v>
      </c>
      <c r="F37" s="67">
        <f>'додаток 3'!F19</f>
        <v>0</v>
      </c>
      <c r="G37" s="67">
        <f>'додаток 3'!G19</f>
        <v>0</v>
      </c>
      <c r="H37" s="67">
        <f>'додаток 3'!H19</f>
        <v>0</v>
      </c>
      <c r="I37" s="50">
        <f>'додаток 3'!I19</f>
        <v>0</v>
      </c>
      <c r="J37" s="50">
        <f>'додаток 3'!J19</f>
        <v>0</v>
      </c>
      <c r="K37" s="50">
        <f>'додаток 3'!K19</f>
        <v>0</v>
      </c>
      <c r="L37" s="50">
        <f>'додаток 3'!L19</f>
        <v>0</v>
      </c>
      <c r="M37" s="50">
        <f>'додаток 3'!M19</f>
        <v>0</v>
      </c>
      <c r="N37" s="49">
        <f t="shared" si="12"/>
        <v>2000</v>
      </c>
      <c r="O37" s="69">
        <f t="shared" si="1"/>
        <v>2000</v>
      </c>
      <c r="P37" s="35"/>
    </row>
    <row r="38" spans="1:16" s="33" customFormat="1" ht="80.25" customHeight="1">
      <c r="A38" s="75"/>
      <c r="B38" s="136" t="s">
        <v>121</v>
      </c>
      <c r="C38" s="50">
        <f t="shared" si="10"/>
        <v>10000</v>
      </c>
      <c r="D38" s="67">
        <f>'додаток 3'!D20</f>
        <v>10000</v>
      </c>
      <c r="E38" s="67">
        <f>'додаток 3'!E20</f>
        <v>0</v>
      </c>
      <c r="F38" s="67">
        <f>'додаток 3'!F20</f>
        <v>0</v>
      </c>
      <c r="G38" s="67">
        <f>'додаток 3'!G20</f>
        <v>0</v>
      </c>
      <c r="H38" s="67">
        <f>'додаток 3'!H20</f>
        <v>0</v>
      </c>
      <c r="I38" s="50">
        <f>'додаток 3'!I20</f>
        <v>0</v>
      </c>
      <c r="J38" s="50">
        <f>'додаток 3'!J20</f>
        <v>0</v>
      </c>
      <c r="K38" s="50">
        <f>'додаток 3'!K20</f>
        <v>0</v>
      </c>
      <c r="L38" s="50">
        <f>'додаток 3'!L20</f>
        <v>0</v>
      </c>
      <c r="M38" s="50">
        <f>'додаток 3'!M20</f>
        <v>0</v>
      </c>
      <c r="N38" s="49">
        <f t="shared" si="12"/>
        <v>10000</v>
      </c>
      <c r="O38" s="69">
        <f t="shared" si="1"/>
        <v>10000</v>
      </c>
      <c r="P38" s="35"/>
    </row>
    <row r="39" spans="1:16" s="33" customFormat="1" ht="74.25" customHeight="1">
      <c r="A39" s="75"/>
      <c r="B39" s="76" t="s">
        <v>131</v>
      </c>
      <c r="C39" s="50">
        <f t="shared" si="10"/>
        <v>100000</v>
      </c>
      <c r="D39" s="67">
        <f>'додаток 3'!D91</f>
        <v>100000</v>
      </c>
      <c r="E39" s="67">
        <f>'додаток 3'!E91</f>
        <v>0</v>
      </c>
      <c r="F39" s="67">
        <f>'додаток 3'!F91</f>
        <v>0</v>
      </c>
      <c r="G39" s="67">
        <f>'додаток 3'!G91</f>
        <v>0</v>
      </c>
      <c r="H39" s="67">
        <f>'додаток 3'!H91</f>
        <v>0</v>
      </c>
      <c r="I39" s="67">
        <f>'додаток 3'!I91</f>
        <v>0</v>
      </c>
      <c r="J39" s="67">
        <f>'додаток 3'!J91</f>
        <v>0</v>
      </c>
      <c r="K39" s="67">
        <f>'додаток 3'!K91</f>
        <v>0</v>
      </c>
      <c r="L39" s="67">
        <f>'додаток 3'!L91</f>
        <v>0</v>
      </c>
      <c r="M39" s="67">
        <f>'додаток 3'!M91</f>
        <v>0</v>
      </c>
      <c r="N39" s="49">
        <f t="shared" si="12"/>
        <v>100000</v>
      </c>
      <c r="O39" s="69">
        <f t="shared" si="1"/>
        <v>100000</v>
      </c>
      <c r="P39" s="35"/>
    </row>
    <row r="40" spans="1:16" s="33" customFormat="1" ht="18" customHeight="1">
      <c r="A40" s="75"/>
      <c r="B40" s="76" t="s">
        <v>95</v>
      </c>
      <c r="C40" s="50">
        <f t="shared" si="10"/>
        <v>-603800</v>
      </c>
      <c r="D40" s="67">
        <f>'додаток 3'!D106</f>
        <v>0</v>
      </c>
      <c r="E40" s="67">
        <f>'додаток 3'!E106</f>
        <v>0</v>
      </c>
      <c r="F40" s="67">
        <f>'додаток 3'!F106</f>
        <v>0</v>
      </c>
      <c r="G40" s="67">
        <f>'додаток 3'!G106</f>
        <v>-603800</v>
      </c>
      <c r="H40" s="67">
        <f>'додаток 3'!H106</f>
        <v>0</v>
      </c>
      <c r="I40" s="67">
        <f>'додаток 3'!I106</f>
        <v>0</v>
      </c>
      <c r="J40" s="67">
        <f>'додаток 3'!J106</f>
        <v>0</v>
      </c>
      <c r="K40" s="67">
        <f>'додаток 3'!K106</f>
        <v>0</v>
      </c>
      <c r="L40" s="67">
        <f>'додаток 3'!L106</f>
        <v>0</v>
      </c>
      <c r="M40" s="67">
        <f>'додаток 3'!M106</f>
        <v>0</v>
      </c>
      <c r="N40" s="49">
        <f t="shared" si="12"/>
        <v>-603800</v>
      </c>
      <c r="O40" s="69">
        <f t="shared" si="1"/>
        <v>-603800</v>
      </c>
      <c r="P40" s="35"/>
    </row>
    <row r="41" spans="1:16" s="33" customFormat="1" ht="78.75" customHeight="1">
      <c r="A41" s="80" t="s">
        <v>147</v>
      </c>
      <c r="B41" s="76" t="s">
        <v>148</v>
      </c>
      <c r="C41" s="50">
        <f t="shared" si="10"/>
        <v>12000</v>
      </c>
      <c r="D41" s="67">
        <f>'додаток 3'!D74</f>
        <v>12000</v>
      </c>
      <c r="E41" s="50">
        <f>'додаток 3'!E74</f>
        <v>0</v>
      </c>
      <c r="F41" s="50">
        <f>'додаток 3'!F74</f>
        <v>0</v>
      </c>
      <c r="G41" s="50">
        <f>'додаток 3'!G74</f>
        <v>0</v>
      </c>
      <c r="H41" s="50">
        <f>'додаток 3'!H74</f>
        <v>0</v>
      </c>
      <c r="I41" s="50">
        <f>'додаток 3'!I74</f>
        <v>0</v>
      </c>
      <c r="J41" s="50">
        <f>'додаток 3'!J74</f>
        <v>0</v>
      </c>
      <c r="K41" s="50">
        <f>'додаток 3'!K74</f>
        <v>0</v>
      </c>
      <c r="L41" s="50">
        <f>'додаток 3'!L74</f>
        <v>0</v>
      </c>
      <c r="M41" s="50">
        <f>'додаток 3'!M74</f>
        <v>0</v>
      </c>
      <c r="N41" s="49">
        <f t="shared" si="12"/>
        <v>12000</v>
      </c>
      <c r="O41" s="69">
        <f t="shared" si="1"/>
        <v>12000</v>
      </c>
      <c r="P41" s="35"/>
    </row>
    <row r="42" spans="1:15" s="42" customFormat="1" ht="21" customHeight="1">
      <c r="A42" s="73"/>
      <c r="B42" s="74" t="s">
        <v>16</v>
      </c>
      <c r="C42" s="121">
        <f aca="true" t="shared" si="13" ref="C42:N42">C12+C14+C15+C16+C17+C18+C19+C21+C23+C28+C30</f>
        <v>10561734</v>
      </c>
      <c r="D42" s="121">
        <f t="shared" si="13"/>
        <v>6422139</v>
      </c>
      <c r="E42" s="121">
        <f t="shared" si="13"/>
        <v>627046</v>
      </c>
      <c r="F42" s="121">
        <f t="shared" si="13"/>
        <v>3091170</v>
      </c>
      <c r="G42" s="121">
        <f t="shared" si="13"/>
        <v>4189595</v>
      </c>
      <c r="H42" s="121">
        <f t="shared" si="13"/>
        <v>1806073</v>
      </c>
      <c r="I42" s="121">
        <f t="shared" si="13"/>
        <v>-272727</v>
      </c>
      <c r="J42" s="121">
        <f t="shared" si="13"/>
        <v>0</v>
      </c>
      <c r="K42" s="121">
        <f t="shared" si="13"/>
        <v>0</v>
      </c>
      <c r="L42" s="121">
        <f t="shared" si="13"/>
        <v>2078800</v>
      </c>
      <c r="M42" s="121">
        <f t="shared" si="13"/>
        <v>2377000</v>
      </c>
      <c r="N42" s="122">
        <f t="shared" si="13"/>
        <v>12367807</v>
      </c>
      <c r="O42" s="69">
        <f t="shared" si="1"/>
        <v>12367807</v>
      </c>
    </row>
    <row r="43" spans="1:15" s="42" customFormat="1" ht="21" customHeight="1">
      <c r="A43" s="73"/>
      <c r="B43" s="74" t="s">
        <v>50</v>
      </c>
      <c r="C43" s="121">
        <f aca="true" t="shared" si="14" ref="C43:C49">D43+G43</f>
        <v>737800</v>
      </c>
      <c r="D43" s="121">
        <f>D49+D44</f>
        <v>111600</v>
      </c>
      <c r="E43" s="121">
        <f aca="true" t="shared" si="15" ref="E43:M43">E49+E44</f>
        <v>0</v>
      </c>
      <c r="F43" s="121">
        <f t="shared" si="15"/>
        <v>0</v>
      </c>
      <c r="G43" s="121">
        <f t="shared" si="15"/>
        <v>626200</v>
      </c>
      <c r="H43" s="121">
        <f t="shared" si="15"/>
        <v>570927</v>
      </c>
      <c r="I43" s="121">
        <f t="shared" si="15"/>
        <v>272727</v>
      </c>
      <c r="J43" s="121">
        <f t="shared" si="15"/>
        <v>0</v>
      </c>
      <c r="K43" s="121">
        <f t="shared" si="15"/>
        <v>0</v>
      </c>
      <c r="L43" s="121">
        <f t="shared" si="15"/>
        <v>298200</v>
      </c>
      <c r="M43" s="121">
        <f t="shared" si="15"/>
        <v>0</v>
      </c>
      <c r="N43" s="122">
        <f aca="true" t="shared" si="16" ref="N43:N49">C43+H43</f>
        <v>1308727</v>
      </c>
      <c r="O43" s="69">
        <f t="shared" si="1"/>
        <v>1308727</v>
      </c>
    </row>
    <row r="44" spans="1:15" s="42" customFormat="1" ht="18.75" customHeight="1">
      <c r="A44" s="75" t="s">
        <v>106</v>
      </c>
      <c r="B44" s="138" t="s">
        <v>138</v>
      </c>
      <c r="C44" s="78">
        <f t="shared" si="14"/>
        <v>712200</v>
      </c>
      <c r="D44" s="66">
        <f>D45+D46+D48+D47</f>
        <v>86000</v>
      </c>
      <c r="E44" s="66">
        <f aca="true" t="shared" si="17" ref="E44:M44">E45+E46+E48+E47</f>
        <v>0</v>
      </c>
      <c r="F44" s="66">
        <f t="shared" si="17"/>
        <v>0</v>
      </c>
      <c r="G44" s="66">
        <f t="shared" si="17"/>
        <v>626200</v>
      </c>
      <c r="H44" s="157">
        <f t="shared" si="17"/>
        <v>570927</v>
      </c>
      <c r="I44" s="66">
        <f t="shared" si="17"/>
        <v>272727</v>
      </c>
      <c r="J44" s="66">
        <f t="shared" si="17"/>
        <v>0</v>
      </c>
      <c r="K44" s="66">
        <f t="shared" si="17"/>
        <v>0</v>
      </c>
      <c r="L44" s="66">
        <f t="shared" si="17"/>
        <v>298200</v>
      </c>
      <c r="M44" s="66">
        <f t="shared" si="17"/>
        <v>0</v>
      </c>
      <c r="N44" s="49">
        <f t="shared" si="16"/>
        <v>1283127</v>
      </c>
      <c r="O44" s="69">
        <f t="shared" si="1"/>
        <v>1283127</v>
      </c>
    </row>
    <row r="45" spans="1:15" s="42" customFormat="1" ht="81.75" customHeight="1">
      <c r="A45" s="155" t="s">
        <v>30</v>
      </c>
      <c r="B45" s="147" t="s">
        <v>227</v>
      </c>
      <c r="C45" s="78">
        <f t="shared" si="14"/>
        <v>100000</v>
      </c>
      <c r="D45" s="66">
        <f>'додаток 3'!D117</f>
        <v>14000</v>
      </c>
      <c r="E45" s="66">
        <f>'додаток 3'!E117</f>
        <v>0</v>
      </c>
      <c r="F45" s="66">
        <f>'додаток 3'!F117</f>
        <v>0</v>
      </c>
      <c r="G45" s="66">
        <f>'додаток 3'!G117</f>
        <v>86000</v>
      </c>
      <c r="H45" s="78">
        <f>'додаток 3'!H117</f>
        <v>0</v>
      </c>
      <c r="I45" s="66">
        <f>'додаток 3'!I117</f>
        <v>0</v>
      </c>
      <c r="J45" s="66">
        <f>'додаток 3'!J117</f>
        <v>0</v>
      </c>
      <c r="K45" s="66">
        <f>'додаток 3'!K117</f>
        <v>0</v>
      </c>
      <c r="L45" s="66">
        <f>'додаток 3'!L117</f>
        <v>0</v>
      </c>
      <c r="M45" s="128">
        <f>'додаток 3'!M117</f>
        <v>0</v>
      </c>
      <c r="N45" s="49">
        <f t="shared" si="16"/>
        <v>100000</v>
      </c>
      <c r="O45" s="69">
        <f t="shared" si="1"/>
        <v>100000</v>
      </c>
    </row>
    <row r="46" spans="1:15" s="42" customFormat="1" ht="51.75" customHeight="1">
      <c r="A46" s="156"/>
      <c r="B46" s="147" t="s">
        <v>139</v>
      </c>
      <c r="C46" s="78">
        <f t="shared" si="14"/>
        <v>0</v>
      </c>
      <c r="D46" s="66">
        <f>'додаток 3'!D113</f>
        <v>0</v>
      </c>
      <c r="E46" s="66">
        <f>'додаток 3'!E113</f>
        <v>0</v>
      </c>
      <c r="F46" s="66">
        <f>'додаток 3'!F113</f>
        <v>0</v>
      </c>
      <c r="G46" s="66">
        <f>'додаток 3'!G113</f>
        <v>0</v>
      </c>
      <c r="H46" s="78">
        <f>'додаток 3'!H113</f>
        <v>570927</v>
      </c>
      <c r="I46" s="66">
        <f>'додаток 3'!I113</f>
        <v>272727</v>
      </c>
      <c r="J46" s="66">
        <f>'додаток 3'!J113</f>
        <v>0</v>
      </c>
      <c r="K46" s="66">
        <f>'додаток 3'!K113</f>
        <v>0</v>
      </c>
      <c r="L46" s="66">
        <f>'додаток 3'!L113</f>
        <v>298200</v>
      </c>
      <c r="M46" s="128">
        <f>'додаток 3'!M113</f>
        <v>0</v>
      </c>
      <c r="N46" s="49">
        <f t="shared" si="16"/>
        <v>570927</v>
      </c>
      <c r="O46" s="69">
        <f t="shared" si="1"/>
        <v>570927</v>
      </c>
    </row>
    <row r="47" spans="1:15" s="42" customFormat="1" ht="68.25" customHeight="1">
      <c r="A47" s="156"/>
      <c r="B47" s="147" t="s">
        <v>224</v>
      </c>
      <c r="C47" s="78">
        <f t="shared" si="14"/>
        <v>40000</v>
      </c>
      <c r="D47" s="66">
        <f>'додаток 3'!D111</f>
        <v>40000</v>
      </c>
      <c r="E47" s="66">
        <f>'додаток 3'!E111</f>
        <v>0</v>
      </c>
      <c r="F47" s="66">
        <f>'додаток 3'!F111</f>
        <v>0</v>
      </c>
      <c r="G47" s="66">
        <f>'додаток 3'!G111</f>
        <v>0</v>
      </c>
      <c r="H47" s="66">
        <f>'додаток 3'!H111</f>
        <v>0</v>
      </c>
      <c r="I47" s="66">
        <f>'додаток 3'!I111</f>
        <v>0</v>
      </c>
      <c r="J47" s="66">
        <f>'додаток 3'!J111</f>
        <v>0</v>
      </c>
      <c r="K47" s="66">
        <f>'додаток 3'!K111</f>
        <v>0</v>
      </c>
      <c r="L47" s="66">
        <f>'додаток 3'!L111</f>
        <v>0</v>
      </c>
      <c r="M47" s="66">
        <f>'додаток 3'!M111</f>
        <v>0</v>
      </c>
      <c r="N47" s="49">
        <f t="shared" si="16"/>
        <v>40000</v>
      </c>
      <c r="O47" s="69">
        <f t="shared" si="1"/>
        <v>40000</v>
      </c>
    </row>
    <row r="48" spans="1:15" s="42" customFormat="1" ht="65.25" customHeight="1">
      <c r="A48" s="156"/>
      <c r="B48" s="147" t="s">
        <v>218</v>
      </c>
      <c r="C48" s="78">
        <f t="shared" si="14"/>
        <v>572200</v>
      </c>
      <c r="D48" s="66">
        <f>'додаток 3'!D115</f>
        <v>32000</v>
      </c>
      <c r="E48" s="66">
        <f>'додаток 3'!E115</f>
        <v>0</v>
      </c>
      <c r="F48" s="66">
        <f>'додаток 3'!F115</f>
        <v>0</v>
      </c>
      <c r="G48" s="66">
        <f>'додаток 3'!G115</f>
        <v>540200</v>
      </c>
      <c r="H48" s="128">
        <f>'додаток 3'!H115</f>
        <v>0</v>
      </c>
      <c r="I48" s="128">
        <f>'додаток 3'!I115</f>
        <v>0</v>
      </c>
      <c r="J48" s="128">
        <f>'додаток 3'!J115</f>
        <v>0</v>
      </c>
      <c r="K48" s="128">
        <f>'додаток 3'!K115</f>
        <v>0</v>
      </c>
      <c r="L48" s="128">
        <f>'додаток 3'!L115</f>
        <v>0</v>
      </c>
      <c r="M48" s="128">
        <f>'додаток 3'!M115</f>
        <v>0</v>
      </c>
      <c r="N48" s="49">
        <f t="shared" si="16"/>
        <v>572200</v>
      </c>
      <c r="O48" s="69">
        <f t="shared" si="1"/>
        <v>572200</v>
      </c>
    </row>
    <row r="49" spans="1:15" ht="100.5" customHeight="1">
      <c r="A49" s="75" t="s">
        <v>65</v>
      </c>
      <c r="B49" s="147" t="s">
        <v>66</v>
      </c>
      <c r="C49" s="78">
        <f t="shared" si="14"/>
        <v>25600</v>
      </c>
      <c r="D49" s="66">
        <f>'додаток 3'!D118</f>
        <v>25600</v>
      </c>
      <c r="E49" s="66">
        <f>'додаток 3'!E118</f>
        <v>0</v>
      </c>
      <c r="F49" s="66">
        <f>'додаток 3'!F118</f>
        <v>0</v>
      </c>
      <c r="G49" s="66">
        <f>'додаток 3'!G118</f>
        <v>0</v>
      </c>
      <c r="H49" s="78">
        <f>'додаток 3'!H118</f>
        <v>0</v>
      </c>
      <c r="I49" s="78">
        <f>'додаток 3'!I118</f>
        <v>0</v>
      </c>
      <c r="J49" s="78">
        <f>'додаток 3'!J118</f>
        <v>0</v>
      </c>
      <c r="K49" s="78">
        <f>'додаток 3'!K118</f>
        <v>0</v>
      </c>
      <c r="L49" s="78">
        <f>'додаток 3'!L118</f>
        <v>0</v>
      </c>
      <c r="M49" s="78">
        <f>'додаток 3'!M118</f>
        <v>0</v>
      </c>
      <c r="N49" s="49">
        <f t="shared" si="16"/>
        <v>25600</v>
      </c>
      <c r="O49" s="69">
        <f t="shared" si="1"/>
        <v>25600</v>
      </c>
    </row>
    <row r="50" spans="1:15" ht="25.5" customHeight="1" thickBot="1">
      <c r="A50" s="107"/>
      <c r="B50" s="123" t="s">
        <v>52</v>
      </c>
      <c r="C50" s="108">
        <f>C43+C42</f>
        <v>11299534</v>
      </c>
      <c r="D50" s="108">
        <f aca="true" t="shared" si="18" ref="D50:N50">D43+D42</f>
        <v>6533739</v>
      </c>
      <c r="E50" s="108">
        <f t="shared" si="18"/>
        <v>627046</v>
      </c>
      <c r="F50" s="108">
        <f t="shared" si="18"/>
        <v>3091170</v>
      </c>
      <c r="G50" s="108">
        <f t="shared" si="18"/>
        <v>4815795</v>
      </c>
      <c r="H50" s="108">
        <f t="shared" si="18"/>
        <v>2377000</v>
      </c>
      <c r="I50" s="108">
        <f t="shared" si="18"/>
        <v>0</v>
      </c>
      <c r="J50" s="108">
        <f t="shared" si="18"/>
        <v>0</v>
      </c>
      <c r="K50" s="108">
        <f t="shared" si="18"/>
        <v>0</v>
      </c>
      <c r="L50" s="108">
        <f t="shared" si="18"/>
        <v>2377000</v>
      </c>
      <c r="M50" s="108">
        <f t="shared" si="18"/>
        <v>2377000</v>
      </c>
      <c r="N50" s="109">
        <f t="shared" si="18"/>
        <v>13676534</v>
      </c>
      <c r="O50" s="69">
        <f t="shared" si="1"/>
        <v>13676534</v>
      </c>
    </row>
    <row r="51" spans="1:15" ht="10.5" customHeight="1">
      <c r="A51" s="11"/>
      <c r="O51" s="69">
        <f>C51+H51</f>
        <v>0</v>
      </c>
    </row>
    <row r="52" spans="1:15" ht="10.5" customHeight="1">
      <c r="A52" s="11"/>
      <c r="O52" s="69">
        <f>C52+H52</f>
        <v>0</v>
      </c>
    </row>
    <row r="53" spans="1:15" ht="10.5" customHeight="1">
      <c r="A53" s="11"/>
      <c r="O53" s="69">
        <f>C53+H53</f>
        <v>0</v>
      </c>
    </row>
    <row r="54" spans="1:14" ht="30.75" customHeight="1">
      <c r="A54" s="11"/>
      <c r="C54" s="21"/>
      <c r="D54" s="22"/>
      <c r="E54" s="22"/>
      <c r="F54" s="22"/>
      <c r="G54" s="22"/>
      <c r="H54" s="21"/>
      <c r="I54" s="22"/>
      <c r="J54" s="22"/>
      <c r="K54" s="22"/>
      <c r="L54" s="22"/>
      <c r="M54" s="22"/>
      <c r="N54" s="21"/>
    </row>
    <row r="55" spans="1:14" ht="24" customHeight="1">
      <c r="A55" s="11"/>
      <c r="B55" s="169" t="s">
        <v>10</v>
      </c>
      <c r="C55" s="169"/>
      <c r="D55" s="169"/>
      <c r="E55" s="25"/>
      <c r="F55" s="26"/>
      <c r="G55" s="27"/>
      <c r="H55" s="28"/>
      <c r="I55" s="27"/>
      <c r="J55" s="181" t="s">
        <v>34</v>
      </c>
      <c r="K55" s="181"/>
      <c r="L55" s="22"/>
      <c r="M55" s="22"/>
      <c r="N55" s="45"/>
    </row>
    <row r="56" spans="1:14" ht="15.75">
      <c r="A56" s="11"/>
      <c r="C56" s="21"/>
      <c r="D56" s="22"/>
      <c r="E56" s="22"/>
      <c r="F56" s="22"/>
      <c r="G56" s="22"/>
      <c r="H56" s="21"/>
      <c r="I56" s="22"/>
      <c r="J56" s="22"/>
      <c r="K56" s="22"/>
      <c r="L56" s="22"/>
      <c r="M56" s="22"/>
      <c r="N56" s="21"/>
    </row>
    <row r="57" spans="1:14" ht="15.75">
      <c r="A57" s="11"/>
      <c r="B57" s="71"/>
      <c r="C57" s="23">
        <f>C42-'додаток 3'!C108</f>
        <v>0</v>
      </c>
      <c r="D57" s="23">
        <f>D42-'додаток 3'!D108</f>
        <v>0</v>
      </c>
      <c r="E57" s="23">
        <f>E42-'додаток 3'!E108</f>
        <v>0</v>
      </c>
      <c r="F57" s="23">
        <f>F42-'додаток 3'!F108</f>
        <v>0</v>
      </c>
      <c r="G57" s="23">
        <f>G42-'додаток 3'!G108</f>
        <v>0</v>
      </c>
      <c r="H57" s="23">
        <f>H42-'додаток 3'!H108</f>
        <v>0</v>
      </c>
      <c r="I57" s="23">
        <f>I42-'додаток 3'!I108</f>
        <v>0</v>
      </c>
      <c r="J57" s="23">
        <f>J42-'додаток 3'!J108</f>
        <v>0</v>
      </c>
      <c r="K57" s="23">
        <f>K42-'додаток 3'!K108</f>
        <v>0</v>
      </c>
      <c r="L57" s="23">
        <f>L42-'додаток 3'!L108</f>
        <v>0</v>
      </c>
      <c r="M57" s="23">
        <f>M42-'додаток 3'!M108</f>
        <v>0</v>
      </c>
      <c r="N57" s="23">
        <f>N42-'додаток 3'!N108</f>
        <v>0</v>
      </c>
    </row>
    <row r="58" spans="1:3" ht="15.75">
      <c r="A58" s="11"/>
      <c r="B58" s="72"/>
      <c r="C58" s="23"/>
    </row>
    <row r="59" spans="1:3" ht="15.75">
      <c r="A59" s="11"/>
      <c r="B59" s="72"/>
      <c r="C59" s="23"/>
    </row>
    <row r="60" spans="1:3" ht="15.75">
      <c r="A60" s="11"/>
      <c r="B60" s="72"/>
      <c r="C60" s="23"/>
    </row>
    <row r="61" spans="1:3" ht="15.75">
      <c r="A61" s="11"/>
      <c r="B61" s="72"/>
      <c r="C61" s="23"/>
    </row>
    <row r="62" spans="1:3" ht="15.75">
      <c r="A62" s="11"/>
      <c r="B62" s="72"/>
      <c r="C62" s="23"/>
    </row>
    <row r="63" ht="12.75">
      <c r="A63" s="11"/>
    </row>
    <row r="64" spans="1:13" ht="12.75">
      <c r="A64" s="11"/>
      <c r="C64" s="23"/>
      <c r="H64" s="23"/>
      <c r="M64" s="24"/>
    </row>
    <row r="65" spans="1:3" ht="12.75">
      <c r="A65" s="11"/>
      <c r="C65" s="39"/>
    </row>
    <row r="66" ht="12.75">
      <c r="A66" s="11"/>
    </row>
    <row r="67" spans="1:8" ht="12.75">
      <c r="A67" s="11"/>
      <c r="H67" s="23"/>
    </row>
    <row r="71" ht="12.75">
      <c r="C71" s="23"/>
    </row>
  </sheetData>
  <mergeCells count="18">
    <mergeCell ref="A5:N5"/>
    <mergeCell ref="C8:G8"/>
    <mergeCell ref="N8:N10"/>
    <mergeCell ref="H8:M8"/>
    <mergeCell ref="A8:A10"/>
    <mergeCell ref="J9:K9"/>
    <mergeCell ref="C9:C10"/>
    <mergeCell ref="D9:D10"/>
    <mergeCell ref="G9:G10"/>
    <mergeCell ref="A6:N6"/>
    <mergeCell ref="B55:D55"/>
    <mergeCell ref="B8:B10"/>
    <mergeCell ref="H9:H10"/>
    <mergeCell ref="I9:I10"/>
    <mergeCell ref="L9:L10"/>
    <mergeCell ref="M9:M10"/>
    <mergeCell ref="E9:F9"/>
    <mergeCell ref="J55:K55"/>
  </mergeCells>
  <printOptions horizontalCentered="1"/>
  <pageMargins left="0.984251968503937" right="0.5905511811023623" top="0.5905511811023623" bottom="0.5905511811023623" header="0.2362204724409449" footer="0.1968503937007874"/>
  <pageSetup horizontalDpi="600" verticalDpi="600" orientation="landscape" paperSize="9" scale="55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Eugene Andrienko</dc:creator>
  <cp:keywords/>
  <dc:description/>
  <cp:lastModifiedBy>NPiddubna</cp:lastModifiedBy>
  <cp:lastPrinted>2009-07-14T13:00:49Z</cp:lastPrinted>
  <dcterms:created xsi:type="dcterms:W3CDTF">2001-12-29T15:32:18Z</dcterms:created>
  <dcterms:modified xsi:type="dcterms:W3CDTF">2009-07-14T13:07:59Z</dcterms:modified>
  <cp:category/>
  <cp:version/>
  <cp:contentType/>
  <cp:contentStatus/>
</cp:coreProperties>
</file>